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 (4)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0">'приложение 1 (4)'!$A$1:$K$368</definedName>
  </definedNames>
  <calcPr fullCalcOnLoad="1"/>
</workbook>
</file>

<file path=xl/sharedStrings.xml><?xml version="1.0" encoding="utf-8"?>
<sst xmlns="http://schemas.openxmlformats.org/spreadsheetml/2006/main" count="612" uniqueCount="286">
  <si>
    <t xml:space="preserve">№ п/п </t>
  </si>
  <si>
    <t>ремонт асфальта</t>
  </si>
  <si>
    <t>установка урн 4шт.</t>
  </si>
  <si>
    <t>урна на детской площадке 1 шт.</t>
  </si>
  <si>
    <t>горка для зимнего катания</t>
  </si>
  <si>
    <t>песочница 2 скамейки</t>
  </si>
  <si>
    <t>песочница, карусель, скамья, ИК</t>
  </si>
  <si>
    <t>качалки на пружине (вертолет, лошадка), качель 2хместная, широкие скамейки со спинками 2 шт., ИГ до 7 лет, ИГ от 7 лет, лесенка-жираф, полоса препятствий</t>
  </si>
  <si>
    <t>хоккейный корт</t>
  </si>
  <si>
    <t>скамейки у качелий 2шт., ИК, вазоны 6шт.</t>
  </si>
  <si>
    <t>установка 5шт.столбиков</t>
  </si>
  <si>
    <t>ИГ, бельевая</t>
  </si>
  <si>
    <t>Стойка для велопарковки на 10 велосипедов</t>
  </si>
  <si>
    <t>Финансирование, руб.</t>
  </si>
  <si>
    <t>Всего</t>
  </si>
  <si>
    <t>6 вазонов, 9 скамеек, 2-х местная качель, спорт.комплекс, качалка на пружине, карусель, песочница</t>
  </si>
  <si>
    <t>комплекс спортивный</t>
  </si>
  <si>
    <t>песочница, карусель, горка</t>
  </si>
  <si>
    <t>ИГ, песочница, 1местная качель</t>
  </si>
  <si>
    <t>ИГ 6103</t>
  </si>
  <si>
    <t>ИК Фантазия 5451</t>
  </si>
  <si>
    <t>ИК 5557</t>
  </si>
  <si>
    <t>урна, 3 тренажера, турник, шведкая стенка</t>
  </si>
  <si>
    <t>установка 10 скамеек, качели 2местные, тренажеры 7635,7538,7521, вазоны 5шт.</t>
  </si>
  <si>
    <t>Адреса жилых домов, образующих дворовую территорию</t>
  </si>
  <si>
    <t>Виды работ/единица измерения</t>
  </si>
  <si>
    <t>ремонт асфальта, кв.м</t>
  </si>
  <si>
    <t>устройство дорожки</t>
  </si>
  <si>
    <t>кол-во</t>
  </si>
  <si>
    <t>посадка деревьев, шт.</t>
  </si>
  <si>
    <t>устройство дорожки, кв.м</t>
  </si>
  <si>
    <t>-качель 2-х местная, карусель, песочница, ИК</t>
  </si>
  <si>
    <t xml:space="preserve">установка МАФ, шт. </t>
  </si>
  <si>
    <t>установка ограждений, м.п.</t>
  </si>
  <si>
    <t>6 урн, 4 скамейки, качели</t>
  </si>
  <si>
    <t>4 скамейки</t>
  </si>
  <si>
    <t>установка поручня, м.п.</t>
  </si>
  <si>
    <t xml:space="preserve"> скамейки у подъездов, урны у подъездов,  песочница, ИК 5301</t>
  </si>
  <si>
    <t>4 урны</t>
  </si>
  <si>
    <t>перила на ступенях, м.п.</t>
  </si>
  <si>
    <t>2 урны,  ИК 5106, 2 скамейки</t>
  </si>
  <si>
    <t>установка урн, скамеек, стойки для веловипедов, вазонов, тренажеров</t>
  </si>
  <si>
    <t>2 урны, ИК 5139, 2 скамейки,скамейки у подъездов</t>
  </si>
  <si>
    <t>урны, скамейки,ИК5438, песочница,</t>
  </si>
  <si>
    <t>урны,  ИК 5119, 2 скамейки, ограждения спорт.площадки</t>
  </si>
  <si>
    <t>3 тренажера</t>
  </si>
  <si>
    <t>песочница, качель 1 местная</t>
  </si>
  <si>
    <t>ремонт бордюрного камня, м.п.</t>
  </si>
  <si>
    <t>устройство лестничного марша к магазину, марш</t>
  </si>
  <si>
    <t>установка ограждения, м.п.</t>
  </si>
  <si>
    <t>скамейка 8п., качалка на пружине Джип, песочница, ИГ Паровозик, ИГ 6310</t>
  </si>
  <si>
    <t>установка бельевой</t>
  </si>
  <si>
    <t>ИК</t>
  </si>
  <si>
    <t>устройство дорожка, кв.м</t>
  </si>
  <si>
    <t>установка 4-х урн у подъездов,  парковка для велосипедов,, демонтаж оборудования на горке, игровые коплексы ???, ИГ Соната, ИГ Пожарная машина, карусель, качель на пружинах вертолет, песочница,  ограничитель въезда</t>
  </si>
  <si>
    <t xml:space="preserve"> 8 скамеек</t>
  </si>
  <si>
    <t>8 скамеек,  турник тройной, брусья разноуровневые, песочница, качель 1 местная</t>
  </si>
  <si>
    <t>установка ограждений,м.п</t>
  </si>
  <si>
    <t>5 скамеек</t>
  </si>
  <si>
    <t>установка 3 скамеек, вазоны 5шт.</t>
  </si>
  <si>
    <t>качели 2 местные, ИК5415, горка ДИНО</t>
  </si>
  <si>
    <t>ремонт бордюрного камня 6п., кв.м</t>
  </si>
  <si>
    <t>дорожка от тротуара, кв.м</t>
  </si>
  <si>
    <t xml:space="preserve"> качели двухместные 2 шт., качалка на пружине Джип, песочница, турник 6441, тренажер 7635, 7538,7521 3шт.,</t>
  </si>
  <si>
    <t xml:space="preserve"> песочница, качель 1 местная</t>
  </si>
  <si>
    <t xml:space="preserve"> качель 2-х местная </t>
  </si>
  <si>
    <t>ремонт асфальта на дорожке у 7-8 под.,кв.м</t>
  </si>
  <si>
    <t>установка ограждений 7п.,м.п</t>
  </si>
  <si>
    <t>установка урн 2шт., 2 скамейки, 1 местная качель, песочница, горка</t>
  </si>
  <si>
    <t xml:space="preserve">  4 скамеек, ИК</t>
  </si>
  <si>
    <t>качели 1 местные</t>
  </si>
  <si>
    <t>скамейки у качелий 2 шт., качалка на пружине, демонтаж теннисного стола</t>
  </si>
  <si>
    <t>качалка на пружине, ИК, вазоны 4шт., демонтаж теннисного стола</t>
  </si>
  <si>
    <t xml:space="preserve"> вазоны 8 шт.</t>
  </si>
  <si>
    <t xml:space="preserve"> качель 2-х местная</t>
  </si>
  <si>
    <t>ремонт дорожки. Кв.м</t>
  </si>
  <si>
    <t xml:space="preserve"> ИГ, горка, 3тренажеры, турник, песочница. Качели 2хместные, теннисный стол стойка для велосипедов</t>
  </si>
  <si>
    <t xml:space="preserve"> качалка Джип, баскетбольные стойки, ворота, 3 скамейки</t>
  </si>
  <si>
    <t>скамейка 1шт., вазоны 3 шт.</t>
  </si>
  <si>
    <t>урна 4шт., скамейка 4 шт., ИГ, горка, 3 тренажеры, турник, песочница, качели 2-хместные, теннисный стол, стойка для велосипедов, демонтаж бельевой</t>
  </si>
  <si>
    <t>ограждение и резиновое покрытие спорт.площадки, баскетбольные щиты, гандбольные ворота, 2 вазонов, карусель, 2 песочницы</t>
  </si>
  <si>
    <t xml:space="preserve"> резинового покрытия спорт.площадки, кв.м</t>
  </si>
  <si>
    <t>урн, 2 скамеек,  1 местная качель, тренажер (турник)</t>
  </si>
  <si>
    <t>урны 6шт., скамейки 6 шт.</t>
  </si>
  <si>
    <t>2 урны, 2 скамейки</t>
  </si>
  <si>
    <t xml:space="preserve"> 7 урны, 7 скамейки</t>
  </si>
  <si>
    <t>подвоз песка, куб.м</t>
  </si>
  <si>
    <t>песочница, 2 скамейки, качель 2-х местная</t>
  </si>
  <si>
    <t>планировка площадки, с корчевкой пней, кв.м</t>
  </si>
  <si>
    <t>устройство дорожки,кв.м</t>
  </si>
  <si>
    <t>качель 2-х местная</t>
  </si>
  <si>
    <t>12 урны на площадке и у подъездов, резиновое покрытие спорт.площадки</t>
  </si>
  <si>
    <t>14 урн, 3 скамеек</t>
  </si>
  <si>
    <t>3 скамейки, 3 вазона</t>
  </si>
  <si>
    <t>установка тренажеров 3 шт.</t>
  </si>
  <si>
    <t xml:space="preserve"> 3 скамейки</t>
  </si>
  <si>
    <t>ИК5438</t>
  </si>
  <si>
    <t>10 вазонов</t>
  </si>
  <si>
    <t>устройство дорожки вдоль подъездов,  кв.м</t>
  </si>
  <si>
    <t>ремонт ступений с поручнем, м.п</t>
  </si>
  <si>
    <t>поручень, на л.марше, м.п</t>
  </si>
  <si>
    <t>качель 1местная, карусель, домик с счетами, горка, ИГ, ковровыбивалка (29 дом)</t>
  </si>
  <si>
    <t>ремонт бордюра,м.п</t>
  </si>
  <si>
    <t>3 вазона</t>
  </si>
  <si>
    <t>ремонт дорожки, кв.м</t>
  </si>
  <si>
    <t>Спорт.комплекс с горкой, качалка на пружине, качель одноместная, 1 скамейка, демонтаж старого оборудования</t>
  </si>
  <si>
    <t>ремонт асфальта,кв.м</t>
  </si>
  <si>
    <t>ограждения спорт.площадки, резиновое покрытие, баскетбольные кольца, 3 тренажера</t>
  </si>
  <si>
    <t>установка ИК 5306, песочный дворик 4267</t>
  </si>
  <si>
    <t>ремонт асфальтобетонного покрытия, кв.м</t>
  </si>
  <si>
    <t xml:space="preserve">Дворовая территория ул.40 лет Октября, д.1, ул.Дзержинского, д.4,6 </t>
  </si>
  <si>
    <t xml:space="preserve"> устройство дорожки,квм</t>
  </si>
  <si>
    <t>устройство дорожек, кв.м</t>
  </si>
  <si>
    <t>Всего по дворовой территории:</t>
  </si>
  <si>
    <t>Дворовая территория ул.40 лет Октября, д.2</t>
  </si>
  <si>
    <t>Дворовая территория ул.40 лет Октября д.4,5, ул.Ленина, д.4</t>
  </si>
  <si>
    <t>установка скамейки у 1п., установка урн 8шт.</t>
  </si>
  <si>
    <t>Дворовая территория ул.Васильева, д.9,11, Ленина, д.20</t>
  </si>
  <si>
    <t>4 урны, урны 6шт, ИК 5121, скамеки 2шт, песочница, 2 бельевых</t>
  </si>
  <si>
    <t>4 урны, урны, ИК 5416, скамейки 2шт., вазоны 3шт.</t>
  </si>
  <si>
    <t>скамейка 1шт. У 1-го подъезда, урны, скамейки, ИК</t>
  </si>
  <si>
    <t xml:space="preserve">Дворовая территория ул.40 лет Октября, д.21 </t>
  </si>
  <si>
    <t xml:space="preserve"> 12 урн</t>
  </si>
  <si>
    <t>Дворовая территория ул.Циолковского, д.15</t>
  </si>
  <si>
    <t>Дворовая территория ул.40 лет Октября, д.31</t>
  </si>
  <si>
    <t>Дворовая территория ул.Победы, д.8</t>
  </si>
  <si>
    <t>Дворовая территория ул.Васильева д.39</t>
  </si>
  <si>
    <t xml:space="preserve">Дворовая территория ул.Победы, д.30 </t>
  </si>
  <si>
    <t>Дворовая территория ул.Победы, д.24</t>
  </si>
  <si>
    <t>Дворовая территория ул.Победы, д.34</t>
  </si>
  <si>
    <t xml:space="preserve">Дворовая территория ул.Победы, 32 </t>
  </si>
  <si>
    <t xml:space="preserve">Дворовая территория ул.Свердлова, д.19 </t>
  </si>
  <si>
    <t>баскетбольный щит, ворота гандбольные, демонтаж теннисного стола, 2 скамейки, 1-местная качель, песочница, тренажер (турник), горка</t>
  </si>
  <si>
    <t>горка=0,9м, демонтаж теннисного стола</t>
  </si>
  <si>
    <t>Дворовая территория ул.Ленина д.37</t>
  </si>
  <si>
    <t>скамейка 1шт., вазоны 3 шт.,</t>
  </si>
  <si>
    <t>Дворовая территория ул.Победы,25</t>
  </si>
  <si>
    <t xml:space="preserve">скамейка 1шт., вазоны 3 шт., </t>
  </si>
  <si>
    <t>Дворовая территория ул.Победы, д.44</t>
  </si>
  <si>
    <t>ИК, бельевая, баскетбольные стойки 2шт.</t>
  </si>
  <si>
    <t>ИК, горка, тренажеры 3шт., турник, песочница, качели 2-хместная. Теннисный стол, стойка для велосипедов, демонтаж теннисного стола</t>
  </si>
  <si>
    <t xml:space="preserve">Дворовая территория ул.Дзержинского д.23 </t>
  </si>
  <si>
    <t xml:space="preserve">Дворовая территория ул.Забабахина, д.15 </t>
  </si>
  <si>
    <t xml:space="preserve">Дворовая территория ул.Комсомольская, д.14 </t>
  </si>
  <si>
    <t xml:space="preserve">Дворовая территория ул.Чуйкова, д.22 </t>
  </si>
  <si>
    <t>ступени с поручнем, мп</t>
  </si>
  <si>
    <t>комплекс для лазания и перекладины</t>
  </si>
  <si>
    <t xml:space="preserve"> установка ИК, демонтаж качелий, теннисного стола</t>
  </si>
  <si>
    <t>Итого</t>
  </si>
  <si>
    <t>3 урны, 3 скамейки,  песочница,установка скамеек 1 шт. 2-й подъезд, ИГ 6103</t>
  </si>
  <si>
    <t>Дворовая территория ул.Кирова, д.5</t>
  </si>
  <si>
    <t>Дворовая территрия ул.Бажова, д.8</t>
  </si>
  <si>
    <t>Дворовая территория ул.Бажова, д.7</t>
  </si>
  <si>
    <t>Дворовая территория ул.Бажова, д.9</t>
  </si>
  <si>
    <t>спорт.комплекс 6310</t>
  </si>
  <si>
    <t>ИК 4425</t>
  </si>
  <si>
    <t xml:space="preserve">ИК </t>
  </si>
  <si>
    <t>спорт.комплекс 6302</t>
  </si>
  <si>
    <t>карусель</t>
  </si>
  <si>
    <t>качель 1 местная</t>
  </si>
  <si>
    <t>тренажер</t>
  </si>
  <si>
    <t>ремонт освещения входных групп, шт.</t>
  </si>
  <si>
    <t>Дворовая территория ул.Васильева д.56-58</t>
  </si>
  <si>
    <t>Дворовая территория ул.Забабахина, д.31</t>
  </si>
  <si>
    <t>резиновое покрытие спорт.площадки</t>
  </si>
  <si>
    <t>ИК 5448</t>
  </si>
  <si>
    <t>нет информ.</t>
  </si>
  <si>
    <t>Дворовая территория ул.Циолковского, д.3 -40 лет Октября, 9</t>
  </si>
  <si>
    <t>Площадь дворовой территории, кв.м</t>
  </si>
  <si>
    <t xml:space="preserve">Дворовая территория ул. 40 лет Октября, д.3, ул.Ленина, д.3,5 </t>
  </si>
  <si>
    <t>Дворовая территория ул.Васильева, д.26</t>
  </si>
  <si>
    <t>Дворовая территория ул.40 лет Октября, д.11,12</t>
  </si>
  <si>
    <t>Дворовая территория ул.Циолковского, д.8, Васильева, д.20</t>
  </si>
  <si>
    <t xml:space="preserve">Дворовая территория ул.40 лет Октября, д.16 </t>
  </si>
  <si>
    <t>Дворовая территория ул.Васильева, д.46,44</t>
  </si>
  <si>
    <t>Дворовая территория ул.Свердлова, д.46, ул.40 лет Октября, д.17,18</t>
  </si>
  <si>
    <t xml:space="preserve">Двровая территория ул.Свердлова, д.29 </t>
  </si>
  <si>
    <t xml:space="preserve">Дворовая территория ул.Пищерова, д.8 </t>
  </si>
  <si>
    <t xml:space="preserve">Дворовая территория ул.40 лет Октября, д.33 </t>
  </si>
  <si>
    <t>Дворовая территория ул.Центральная, д.6</t>
  </si>
  <si>
    <t xml:space="preserve">Дворовая территория ул. Победы, д.14 </t>
  </si>
  <si>
    <t xml:space="preserve">Дворовая территория ул.Победы, д.12 </t>
  </si>
  <si>
    <t>Дворовая территория ул.Победы, д.22</t>
  </si>
  <si>
    <t xml:space="preserve">Дворовая территория ул.Победы, д.9 </t>
  </si>
  <si>
    <t>Дворовая территория ул.Победы, д.13-11</t>
  </si>
  <si>
    <t>Дворовая территория улПобеды, д.7, Васильева,41</t>
  </si>
  <si>
    <t xml:space="preserve">Дворовая территория ул.Ленина, д.52 </t>
  </si>
  <si>
    <t>Дворовая территория ул.Победы, д.26</t>
  </si>
  <si>
    <t xml:space="preserve">Дворовая территория ул.Победы, д.19 </t>
  </si>
  <si>
    <t xml:space="preserve">Дворовая территория ул.Победы, д.28 </t>
  </si>
  <si>
    <t xml:space="preserve">Дворовая территория ул.Васильева, д.17 </t>
  </si>
  <si>
    <t xml:space="preserve">Дворовая территория ул.Циолковского, д.14 </t>
  </si>
  <si>
    <t>Дворовая территория ул.Свердлова, д.36, Васильева, д.21</t>
  </si>
  <si>
    <t xml:space="preserve">Дворовая территория ул.Васильева, д.25 </t>
  </si>
  <si>
    <t>Дворовая территория ул.Свердлова, д.30</t>
  </si>
  <si>
    <t xml:space="preserve">Дворовая территория ул.Ленина, 40  </t>
  </si>
  <si>
    <t>Дворовая территория ул.Ленина, д.31</t>
  </si>
  <si>
    <t xml:space="preserve">Дворовая территория ул.Дзержинского, д.32 </t>
  </si>
  <si>
    <t>Дворовая территория ул.Ленина, д.38</t>
  </si>
  <si>
    <t>Дворовая территория ул.Ленина, д.46</t>
  </si>
  <si>
    <t>Дворовая территория ул.Ленина, д.36</t>
  </si>
  <si>
    <t>Дворовая территория ул.Дзержинского, д.30</t>
  </si>
  <si>
    <t xml:space="preserve">Дворовая территория ул.Ленина, д.35 </t>
  </si>
  <si>
    <t xml:space="preserve">Дворовая территория ул.Победы, д.40, корп. 1, д.40, корп.2 </t>
  </si>
  <si>
    <t>Дворовая территория ул.Победы, д.23</t>
  </si>
  <si>
    <t xml:space="preserve">Дворовая территория ул.Победы, д.27 </t>
  </si>
  <si>
    <t>Дворовая территория ул.Дзержинского, д.36</t>
  </si>
  <si>
    <t xml:space="preserve">Дворовая территория ул.Ленина, д.39 </t>
  </si>
  <si>
    <t xml:space="preserve">Дворовая территория ул.Дзержинского, д.38 </t>
  </si>
  <si>
    <t xml:space="preserve">Дворовая территория ул.Дзержинского, д.27 </t>
  </si>
  <si>
    <t xml:space="preserve">Дворовая территория пр.Щёлкина, д.5,7 </t>
  </si>
  <si>
    <t xml:space="preserve">Дворовая территория ул.Феоктистова, д.42, пр.Щёлкина, д. 17,19 </t>
  </si>
  <si>
    <t xml:space="preserve">Дворовая территория пр.Щёлкина, д.15 </t>
  </si>
  <si>
    <t>Дворовая территория ул.Феоктистова, д.24</t>
  </si>
  <si>
    <t xml:space="preserve">Дворовая территория пр.Мира, 18 </t>
  </si>
  <si>
    <t xml:space="preserve">Дворовая территория ул.Забабахина, д.28 </t>
  </si>
  <si>
    <t xml:space="preserve">Дворовая территория ул.Забабахина, д.16,18,22 </t>
  </si>
  <si>
    <t xml:space="preserve">Дворовая территория пр.Мира, д.30, корп.1-3, д.32 </t>
  </si>
  <si>
    <t>Дворовая территория пр.Мира, д.21</t>
  </si>
  <si>
    <t xml:space="preserve">Дворовая территория пр.Мира, д.7 </t>
  </si>
  <si>
    <t xml:space="preserve">Дворовая территория пр.Мира, д.9 </t>
  </si>
  <si>
    <t xml:space="preserve">Дворовая территория прл.Мира, д.13 </t>
  </si>
  <si>
    <t xml:space="preserve">Дворовая территория ул.Чкаловская, д.3,5,7 </t>
  </si>
  <si>
    <t xml:space="preserve">Дворовая территория ул.Чкаловская, д.1 </t>
  </si>
  <si>
    <t>Дворовая территория пр.Мира, д.19</t>
  </si>
  <si>
    <t xml:space="preserve">Дворовая территория пр.Мира, д.21 </t>
  </si>
  <si>
    <t xml:space="preserve">Дворовая территория ул.Чуйкова, д.16 </t>
  </si>
  <si>
    <t xml:space="preserve">Дворовая территория ул.Комсомольская, д.16 </t>
  </si>
  <si>
    <t xml:space="preserve">Дворовая территория ул.Чуйкова, д.10, д.12А, д.12, д.8 </t>
  </si>
  <si>
    <t>Дворовая территория ул.Чуйкова, д.20</t>
  </si>
  <si>
    <t>Дворовая территория ул.Чуйкова, д.4,6</t>
  </si>
  <si>
    <t xml:space="preserve">Дворовая территория ул.Забабахина, д.21 </t>
  </si>
  <si>
    <t xml:space="preserve">Дворовая территория ул.Забабахина, д.43 </t>
  </si>
  <si>
    <t>Дворовая территория ул.Забабахина, д.23</t>
  </si>
  <si>
    <t xml:space="preserve">Дворовая территория ул.Забабахина, д.48 </t>
  </si>
  <si>
    <t xml:space="preserve">Дворовая территория ул.Забабахина, д.54 </t>
  </si>
  <si>
    <t xml:space="preserve">Дворовая территория ул.Строителей, д.6 </t>
  </si>
  <si>
    <t>Дворовая территория ул.Строителей, д.5</t>
  </si>
  <si>
    <t>Дворовая территория б.Циолковского, д.5, Васильева 18</t>
  </si>
  <si>
    <t>Дворовая территория ул.Кирова, д.7</t>
  </si>
  <si>
    <t>Дворовая территория ул.М-Сибиряка, д.2,4</t>
  </si>
  <si>
    <t>Дворовая территория ул.Бажова, д.2,4</t>
  </si>
  <si>
    <t>Дворовая территория ул.Свердлова, д.12,14,16,18,20</t>
  </si>
  <si>
    <t>Дворовая территория ул.Феоктистова, д.30</t>
  </si>
  <si>
    <t>Дворовая территория ул.Ленина, д.17,19,21</t>
  </si>
  <si>
    <t>Дворовая территория ул.Победы, д.16,22</t>
  </si>
  <si>
    <t>Дворовая территория ул.Победы, д.6,10</t>
  </si>
  <si>
    <t>Дворовая территория ул.Васильева, д.6, ул.Ленина, д.9,11</t>
  </si>
  <si>
    <t>Дворовая территори ул.Васильева, д.3, ул.Дзержинского, д.18,20</t>
  </si>
  <si>
    <t xml:space="preserve">Дворовая территория ул.Васильева, д.5, ул.Ленина, д.15 </t>
  </si>
  <si>
    <t xml:space="preserve">Дворовая территория ул.40 лет Октября, д.25, ул.Пищерова, д.10 </t>
  </si>
  <si>
    <t>Дворовая территория ул.Свердлова, д.25- ул.Васильева, д.38,40</t>
  </si>
  <si>
    <t>Дворовая террития ул.Васильева, д.48- ул.Пищерова, д.2,4</t>
  </si>
  <si>
    <t>Дворовая территория ул.Свердлова, д.42, Васильева, д.34,32</t>
  </si>
  <si>
    <t>Дворовая территория ул.40 лет Октября, д.14,13</t>
  </si>
  <si>
    <t>Дворовая территория ул. Васильева, д.14</t>
  </si>
  <si>
    <t xml:space="preserve">Дворовая территория ул. Комсомольская, д.12 </t>
  </si>
  <si>
    <t>Дворовая территория ул.Победы, д.21,          Ленина, д.56</t>
  </si>
  <si>
    <t>Дворовая территория ул.Ленина, д.42</t>
  </si>
  <si>
    <t>Дворовая территория ул.Победы, д.38,42</t>
  </si>
  <si>
    <t>Дворовая территория ул.Щелкина д.9,13</t>
  </si>
  <si>
    <t xml:space="preserve">Дворовая территория ул.Феоктистова, д.34,38 </t>
  </si>
  <si>
    <t xml:space="preserve">Дворовая территория ул.Феоктистова, д.18,20 </t>
  </si>
  <si>
    <t xml:space="preserve">Дворовая территория ул.Феоктистова, д.22,26,28 </t>
  </si>
  <si>
    <t>Дворовая территория ул.Забабахина, д.3,5</t>
  </si>
  <si>
    <t xml:space="preserve">Дворовая территория ул.Забабахина, д.11,13 </t>
  </si>
  <si>
    <t>Дворовая территория ул.Ломинского, д.35,37</t>
  </si>
  <si>
    <t>Дворовая территория ул.Ломинского, д.9,11,13</t>
  </si>
  <si>
    <t xml:space="preserve">Дворовая территория ул.Ломинского, 19,25 </t>
  </si>
  <si>
    <t xml:space="preserve">Дворовая территория ул.Ломинского, д.29,31,33 </t>
  </si>
  <si>
    <t>Дворовая территория ул.Забабахина, 36,40</t>
  </si>
  <si>
    <t xml:space="preserve">Дворовая территория ул.Забабахина, д.10,14,20 </t>
  </si>
  <si>
    <t xml:space="preserve">Дворовая территория ул.Забабахина, д.26,30 </t>
  </si>
  <si>
    <t xml:space="preserve">Дворовая территория ул.Нечая, д.1,3 </t>
  </si>
  <si>
    <t xml:space="preserve">Дворовая территория пр. Мира, д. 24,26,28 </t>
  </si>
  <si>
    <t xml:space="preserve">Дворовая территория ул.Забабахина,  д.33 </t>
  </si>
  <si>
    <t xml:space="preserve">Дворовая территория ул.Забабахина, д.35,29,27 </t>
  </si>
  <si>
    <t>Дворовая территория ул.Забабахина, д.39,41,45, ул.Чуйкова, д.24</t>
  </si>
  <si>
    <t>Дворовая территория ул.Строителей, д.10,           ул. Чапаева, д.16</t>
  </si>
  <si>
    <t>Дворовая территория ул.Чапаева, д.22,24,26, ул.Сосновая, д.9,11</t>
  </si>
  <si>
    <t xml:space="preserve">Дворовая территория ул.Чапаева, д.4,6,8,10, ул.Зелёная, д. 8,10 </t>
  </si>
  <si>
    <t>Дворовая территория ул.Строителей, д.9, ул.Чапаева, д.12</t>
  </si>
  <si>
    <t>Дворовая территория ул.Комсомольская, д.20,22</t>
  </si>
  <si>
    <t>Приложение 3</t>
  </si>
  <si>
    <t>к умуниципальной Программе "Формирование современной городской среды Снежинского городского округа" на 2018-2022 годы</t>
  </si>
  <si>
    <t>ремонт дорожки. кв.м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</si>
</sst>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.0"/>
  </numFmts>
  <fonts count="34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17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9" fillId="8" borderId="1" applyNumberFormat="0" applyAlignment="0" applyProtection="0"/>
    <xf numFmtId="0" fontId="20" fillId="21" borderId="2" applyNumberFormat="0" applyAlignment="0" applyProtection="0"/>
    <xf numFmtId="0" fontId="21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2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33" fillId="2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/>
    </xf>
    <xf numFmtId="4" fontId="13" fillId="25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vertical="center" wrapText="1"/>
    </xf>
    <xf numFmtId="171" fontId="13" fillId="0" borderId="0" xfId="0" applyNumberFormat="1" applyFont="1" applyAlignment="1">
      <alignment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73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173" fontId="15" fillId="0" borderId="10" xfId="0" applyNumberFormat="1" applyFont="1" applyFill="1" applyBorder="1" applyAlignment="1">
      <alignment vertical="center" wrapText="1"/>
    </xf>
    <xf numFmtId="173" fontId="15" fillId="0" borderId="10" xfId="0" applyNumberFormat="1" applyFont="1" applyBorder="1" applyAlignment="1">
      <alignment vertical="center" wrapText="1"/>
    </xf>
    <xf numFmtId="173" fontId="13" fillId="25" borderId="10" xfId="0" applyNumberFormat="1" applyFont="1" applyFill="1" applyBorder="1" applyAlignment="1">
      <alignment vertical="center" wrapText="1"/>
    </xf>
    <xf numFmtId="173" fontId="15" fillId="0" borderId="0" xfId="0" applyNumberFormat="1" applyFont="1" applyFill="1" applyBorder="1" applyAlignment="1">
      <alignment wrapText="1"/>
    </xf>
    <xf numFmtId="173" fontId="13" fillId="0" borderId="0" xfId="0" applyNumberFormat="1" applyFont="1" applyAlignment="1">
      <alignment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173" fontId="15" fillId="0" borderId="10" xfId="0" applyNumberFormat="1" applyFont="1" applyFill="1" applyBorder="1" applyAlignment="1">
      <alignment vertical="center" wrapText="1"/>
    </xf>
    <xf numFmtId="173" fontId="15" fillId="0" borderId="10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" fontId="13" fillId="25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3" fontId="13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3" fillId="0" borderId="10" xfId="74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4" fillId="0" borderId="10" xfId="74" applyNumberFormat="1" applyFont="1" applyBorder="1" applyAlignment="1">
      <alignment horizontal="center" vertical="center" wrapText="1"/>
    </xf>
    <xf numFmtId="4" fontId="14" fillId="25" borderId="10" xfId="0" applyNumberFormat="1" applyFont="1" applyFill="1" applyBorder="1" applyAlignment="1">
      <alignment horizontal="center" vertical="center" wrapText="1"/>
    </xf>
    <xf numFmtId="4" fontId="13" fillId="25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73" fontId="15" fillId="0" borderId="12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173" fontId="16" fillId="0" borderId="16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4" fontId="14" fillId="0" borderId="16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83"/>
  <sheetViews>
    <sheetView tabSelected="1" zoomScaleSheetLayoutView="100" zoomScalePageLayoutView="0" workbookViewId="0" topLeftCell="D211">
      <selection activeCell="H372" sqref="H372"/>
    </sheetView>
  </sheetViews>
  <sheetFormatPr defaultColWidth="9.00390625" defaultRowHeight="46.5" customHeight="1"/>
  <cols>
    <col min="1" max="1" width="7.125" style="16" customWidth="1"/>
    <col min="2" max="2" width="49.125" style="28" customWidth="1"/>
    <col min="3" max="3" width="13.875" style="25" customWidth="1"/>
    <col min="4" max="4" width="43.125" style="8" customWidth="1"/>
    <col min="5" max="5" width="35.375" style="8" customWidth="1"/>
    <col min="6" max="6" width="14.375" style="8" customWidth="1"/>
    <col min="7" max="7" width="14.25390625" style="8" customWidth="1"/>
    <col min="8" max="8" width="14.75390625" style="8" customWidth="1"/>
    <col min="9" max="9" width="14.00390625" style="8" customWidth="1"/>
    <col min="10" max="10" width="14.75390625" style="8" customWidth="1"/>
    <col min="11" max="11" width="14.625" style="8" customWidth="1"/>
    <col min="12" max="16384" width="9.00390625" style="8" customWidth="1"/>
  </cols>
  <sheetData>
    <row r="1" spans="9:11" ht="16.5" customHeight="1">
      <c r="I1" s="47"/>
      <c r="J1" s="46" t="s">
        <v>283</v>
      </c>
      <c r="K1" s="46"/>
    </row>
    <row r="2" spans="9:11" ht="93.75" customHeight="1">
      <c r="I2" s="47"/>
      <c r="J2" s="48" t="s">
        <v>284</v>
      </c>
      <c r="K2" s="48"/>
    </row>
    <row r="3" ht="12.75" customHeight="1"/>
    <row r="4" spans="1:11" ht="18.75" customHeight="1">
      <c r="A4" s="35" t="s">
        <v>0</v>
      </c>
      <c r="B4" s="37" t="s">
        <v>24</v>
      </c>
      <c r="C4" s="36" t="s">
        <v>168</v>
      </c>
      <c r="D4" s="35" t="s">
        <v>25</v>
      </c>
      <c r="E4" s="35" t="s">
        <v>28</v>
      </c>
      <c r="F4" s="35" t="s">
        <v>13</v>
      </c>
      <c r="G4" s="35"/>
      <c r="H4" s="35"/>
      <c r="I4" s="35"/>
      <c r="J4" s="35"/>
      <c r="K4" s="35"/>
    </row>
    <row r="5" spans="1:11" ht="18" customHeight="1">
      <c r="A5" s="35"/>
      <c r="B5" s="37"/>
      <c r="C5" s="36"/>
      <c r="D5" s="35"/>
      <c r="E5" s="35"/>
      <c r="F5" s="35" t="s">
        <v>14</v>
      </c>
      <c r="G5" s="34">
        <v>2018</v>
      </c>
      <c r="H5" s="34">
        <v>2019</v>
      </c>
      <c r="I5" s="34">
        <v>2020</v>
      </c>
      <c r="J5" s="34">
        <v>2021</v>
      </c>
      <c r="K5" s="34">
        <v>2022</v>
      </c>
    </row>
    <row r="6" spans="1:11" ht="24.75" customHeight="1">
      <c r="A6" s="35"/>
      <c r="B6" s="37"/>
      <c r="C6" s="36"/>
      <c r="D6" s="35"/>
      <c r="E6" s="35"/>
      <c r="F6" s="35"/>
      <c r="G6" s="34"/>
      <c r="H6" s="34"/>
      <c r="I6" s="34"/>
      <c r="J6" s="34"/>
      <c r="K6" s="34"/>
    </row>
    <row r="7" spans="1:11" ht="19.5" customHeight="1">
      <c r="A7" s="1">
        <v>1</v>
      </c>
      <c r="B7" s="1">
        <v>2</v>
      </c>
      <c r="C7" s="19"/>
      <c r="D7" s="1">
        <v>3</v>
      </c>
      <c r="E7" s="1"/>
      <c r="F7" s="1">
        <v>4</v>
      </c>
      <c r="G7" s="1">
        <v>5</v>
      </c>
      <c r="H7" s="1">
        <v>6</v>
      </c>
      <c r="I7" s="6">
        <v>7</v>
      </c>
      <c r="J7" s="6">
        <v>8</v>
      </c>
      <c r="K7" s="6">
        <v>9</v>
      </c>
    </row>
    <row r="8" spans="1:11" s="10" customFormat="1" ht="20.25" customHeight="1">
      <c r="A8" s="29">
        <v>1</v>
      </c>
      <c r="B8" s="44" t="s">
        <v>110</v>
      </c>
      <c r="C8" s="45">
        <f>350.6+258.1+376.8+357.5+3277</f>
        <v>4620</v>
      </c>
      <c r="D8" s="17" t="s">
        <v>112</v>
      </c>
      <c r="E8" s="17">
        <v>97.2</v>
      </c>
      <c r="F8" s="49">
        <f>97.2*1761.64</f>
        <v>171231.40800000002</v>
      </c>
      <c r="G8" s="50"/>
      <c r="H8" s="50"/>
      <c r="I8" s="50"/>
      <c r="J8" s="50"/>
      <c r="K8" s="50"/>
    </row>
    <row r="9" spans="1:12" s="11" customFormat="1" ht="18.75" customHeight="1">
      <c r="A9" s="29"/>
      <c r="B9" s="44"/>
      <c r="C9" s="45"/>
      <c r="D9" s="20" t="s">
        <v>26</v>
      </c>
      <c r="E9" s="17">
        <v>985.5</v>
      </c>
      <c r="F9" s="51">
        <f>985.8*500.96</f>
        <v>493846.36799999996</v>
      </c>
      <c r="G9" s="52"/>
      <c r="H9" s="52"/>
      <c r="I9" s="49"/>
      <c r="J9" s="49"/>
      <c r="K9" s="49"/>
      <c r="L9" s="14"/>
    </row>
    <row r="10" spans="1:12" s="11" customFormat="1" ht="22.5" customHeight="1">
      <c r="A10" s="29"/>
      <c r="B10" s="44"/>
      <c r="C10" s="45"/>
      <c r="D10" s="20" t="s">
        <v>113</v>
      </c>
      <c r="E10" s="17"/>
      <c r="F10" s="53">
        <f>SUM(F8:F9)</f>
        <v>665077.776</v>
      </c>
      <c r="G10" s="52">
        <f>F10</f>
        <v>665077.776</v>
      </c>
      <c r="H10" s="52"/>
      <c r="I10" s="49"/>
      <c r="J10" s="49"/>
      <c r="K10" s="49"/>
      <c r="L10" s="14"/>
    </row>
    <row r="11" spans="1:12" s="5" customFormat="1" ht="21.75" customHeight="1">
      <c r="A11" s="29">
        <v>2</v>
      </c>
      <c r="B11" s="44" t="s">
        <v>114</v>
      </c>
      <c r="C11" s="45">
        <f>302.4+672+2245.3</f>
        <v>3219.7000000000003</v>
      </c>
      <c r="D11" s="20" t="s">
        <v>111</v>
      </c>
      <c r="E11" s="17">
        <v>75.7</v>
      </c>
      <c r="F11" s="51">
        <f>75.7*1761.64</f>
        <v>133356.14800000002</v>
      </c>
      <c r="G11" s="52"/>
      <c r="H11" s="52"/>
      <c r="I11" s="49"/>
      <c r="J11" s="49"/>
      <c r="K11" s="49"/>
      <c r="L11" s="9"/>
    </row>
    <row r="12" spans="1:12" s="5" customFormat="1" ht="21" customHeight="1">
      <c r="A12" s="29"/>
      <c r="B12" s="44"/>
      <c r="C12" s="45"/>
      <c r="D12" s="20" t="s">
        <v>26</v>
      </c>
      <c r="E12" s="20">
        <v>302.4</v>
      </c>
      <c r="F12" s="51">
        <f>302.4*500.96</f>
        <v>151490.30399999997</v>
      </c>
      <c r="G12" s="52"/>
      <c r="H12" s="52"/>
      <c r="I12" s="49"/>
      <c r="J12" s="49"/>
      <c r="K12" s="49"/>
      <c r="L12" s="9"/>
    </row>
    <row r="13" spans="1:12" s="5" customFormat="1" ht="21.75" customHeight="1">
      <c r="A13" s="29"/>
      <c r="B13" s="44"/>
      <c r="C13" s="45"/>
      <c r="D13" s="20" t="s">
        <v>113</v>
      </c>
      <c r="E13" s="20"/>
      <c r="F13" s="53">
        <f>SUM(F11:F12)</f>
        <v>284846.452</v>
      </c>
      <c r="G13" s="52">
        <v>284846.45</v>
      </c>
      <c r="H13" s="52"/>
      <c r="I13" s="49"/>
      <c r="J13" s="49"/>
      <c r="K13" s="49"/>
      <c r="L13" s="9"/>
    </row>
    <row r="14" spans="1:12" s="5" customFormat="1" ht="22.5" customHeight="1">
      <c r="A14" s="29">
        <v>3</v>
      </c>
      <c r="B14" s="44" t="s">
        <v>169</v>
      </c>
      <c r="C14" s="45">
        <f>317+293+220+349.6+400+3512.5</f>
        <v>5092.1</v>
      </c>
      <c r="D14" s="20" t="s">
        <v>27</v>
      </c>
      <c r="E14" s="20">
        <v>109</v>
      </c>
      <c r="F14" s="51">
        <f>109*1761.64</f>
        <v>192018.76</v>
      </c>
      <c r="G14" s="52"/>
      <c r="H14" s="52"/>
      <c r="I14" s="49"/>
      <c r="J14" s="49"/>
      <c r="K14" s="49"/>
      <c r="L14" s="9"/>
    </row>
    <row r="15" spans="1:12" s="5" customFormat="1" ht="22.5" customHeight="1">
      <c r="A15" s="29"/>
      <c r="B15" s="44"/>
      <c r="C15" s="45"/>
      <c r="D15" s="20" t="s">
        <v>1</v>
      </c>
      <c r="E15" s="20">
        <f>317.1+293+220+349.6</f>
        <v>1179.7</v>
      </c>
      <c r="F15" s="51">
        <f>1179.7*500.96</f>
        <v>590982.512</v>
      </c>
      <c r="G15" s="52"/>
      <c r="H15" s="52"/>
      <c r="I15" s="49"/>
      <c r="J15" s="49"/>
      <c r="K15" s="49"/>
      <c r="L15" s="9"/>
    </row>
    <row r="16" spans="1:12" s="5" customFormat="1" ht="18.75" customHeight="1">
      <c r="A16" s="29"/>
      <c r="B16" s="44"/>
      <c r="C16" s="45"/>
      <c r="D16" s="20" t="s">
        <v>113</v>
      </c>
      <c r="E16" s="20"/>
      <c r="F16" s="53">
        <f>SUM(F14:F15)</f>
        <v>783001.272</v>
      </c>
      <c r="G16" s="52"/>
      <c r="H16" s="52">
        <v>783001.27</v>
      </c>
      <c r="I16" s="49"/>
      <c r="J16" s="49"/>
      <c r="K16" s="49"/>
      <c r="L16" s="9"/>
    </row>
    <row r="17" spans="1:11" ht="30.75" customHeight="1">
      <c r="A17" s="29">
        <v>4</v>
      </c>
      <c r="B17" s="33" t="s">
        <v>256</v>
      </c>
      <c r="C17" s="31" t="s">
        <v>166</v>
      </c>
      <c r="D17" s="18" t="s">
        <v>32</v>
      </c>
      <c r="E17" s="18" t="s">
        <v>31</v>
      </c>
      <c r="F17" s="49">
        <f>27178+35000+11992+104650</f>
        <v>178820</v>
      </c>
      <c r="G17" s="49"/>
      <c r="H17" s="49"/>
      <c r="I17" s="49"/>
      <c r="J17" s="49"/>
      <c r="K17" s="49"/>
    </row>
    <row r="18" spans="1:11" ht="21.75" customHeight="1">
      <c r="A18" s="29"/>
      <c r="B18" s="33"/>
      <c r="C18" s="31"/>
      <c r="D18" s="18" t="s">
        <v>113</v>
      </c>
      <c r="E18" s="18"/>
      <c r="F18" s="50">
        <f>F17</f>
        <v>178820</v>
      </c>
      <c r="G18" s="49">
        <f>F18</f>
        <v>178820</v>
      </c>
      <c r="H18" s="49"/>
      <c r="I18" s="49"/>
      <c r="J18" s="49"/>
      <c r="K18" s="49"/>
    </row>
    <row r="19" spans="1:11" ht="21" customHeight="1">
      <c r="A19" s="29">
        <v>5</v>
      </c>
      <c r="B19" s="30" t="s">
        <v>255</v>
      </c>
      <c r="C19" s="31">
        <f>361.1+1142.9</f>
        <v>1504</v>
      </c>
      <c r="D19" s="18" t="s">
        <v>26</v>
      </c>
      <c r="E19" s="18">
        <v>361.1</v>
      </c>
      <c r="F19" s="49">
        <f>361.1*500.96</f>
        <v>180896.65600000002</v>
      </c>
      <c r="G19" s="49"/>
      <c r="H19" s="49"/>
      <c r="I19" s="49"/>
      <c r="J19" s="49"/>
      <c r="K19" s="49"/>
    </row>
    <row r="20" spans="1:11" ht="24" customHeight="1">
      <c r="A20" s="29"/>
      <c r="B20" s="30"/>
      <c r="C20" s="31"/>
      <c r="D20" s="18" t="s">
        <v>32</v>
      </c>
      <c r="E20" s="18" t="s">
        <v>34</v>
      </c>
      <c r="F20" s="49">
        <f>6*1854+4*7078+22375</f>
        <v>61811</v>
      </c>
      <c r="G20" s="49"/>
      <c r="H20" s="49"/>
      <c r="I20" s="49"/>
      <c r="J20" s="49"/>
      <c r="K20" s="49"/>
    </row>
    <row r="21" spans="1:11" ht="21.75" customHeight="1">
      <c r="A21" s="29"/>
      <c r="B21" s="30"/>
      <c r="C21" s="31"/>
      <c r="D21" s="3" t="s">
        <v>33</v>
      </c>
      <c r="E21" s="3">
        <f>58.2-4</f>
        <v>54.2</v>
      </c>
      <c r="F21" s="51">
        <f>54.2*873</f>
        <v>47316.600000000006</v>
      </c>
      <c r="G21" s="52"/>
      <c r="H21" s="52"/>
      <c r="I21" s="49"/>
      <c r="J21" s="49"/>
      <c r="K21" s="49"/>
    </row>
    <row r="22" spans="1:11" ht="21.75" customHeight="1">
      <c r="A22" s="29"/>
      <c r="B22" s="30"/>
      <c r="C22" s="31"/>
      <c r="D22" s="3" t="s">
        <v>113</v>
      </c>
      <c r="E22" s="3"/>
      <c r="F22" s="53">
        <f>SUM(F19:F21)</f>
        <v>290024.25600000005</v>
      </c>
      <c r="G22" s="52">
        <f>F20+F21</f>
        <v>109127.6</v>
      </c>
      <c r="H22" s="52">
        <f>F19</f>
        <v>180896.65600000002</v>
      </c>
      <c r="I22" s="49"/>
      <c r="J22" s="49"/>
      <c r="K22" s="49"/>
    </row>
    <row r="23" spans="1:11" ht="21.75" customHeight="1">
      <c r="A23" s="29">
        <v>6</v>
      </c>
      <c r="B23" s="38" t="s">
        <v>115</v>
      </c>
      <c r="C23" s="31">
        <f>321.1+303.9+300.3+4527.6</f>
        <v>5452.900000000001</v>
      </c>
      <c r="D23" s="2" t="s">
        <v>26</v>
      </c>
      <c r="E23" s="3">
        <f>321.1+303.9</f>
        <v>625</v>
      </c>
      <c r="F23" s="51">
        <f>625*500.96</f>
        <v>313100</v>
      </c>
      <c r="G23" s="52"/>
      <c r="H23" s="52"/>
      <c r="I23" s="49"/>
      <c r="J23" s="49"/>
      <c r="K23" s="49"/>
    </row>
    <row r="24" spans="1:11" ht="21.75" customHeight="1">
      <c r="A24" s="29"/>
      <c r="B24" s="38"/>
      <c r="C24" s="31"/>
      <c r="D24" s="3" t="s">
        <v>32</v>
      </c>
      <c r="E24" s="12" t="s">
        <v>6</v>
      </c>
      <c r="F24" s="51">
        <f>11992+35000+7078+104650</f>
        <v>158720</v>
      </c>
      <c r="G24" s="52"/>
      <c r="H24" s="52"/>
      <c r="I24" s="49"/>
      <c r="J24" s="49"/>
      <c r="K24" s="49"/>
    </row>
    <row r="25" spans="1:11" ht="20.25" customHeight="1">
      <c r="A25" s="29"/>
      <c r="B25" s="38"/>
      <c r="C25" s="31"/>
      <c r="D25" s="3" t="s">
        <v>113</v>
      </c>
      <c r="E25" s="2"/>
      <c r="F25" s="54">
        <f>SUM(F23:F24)</f>
        <v>471820</v>
      </c>
      <c r="G25" s="52">
        <f>F24</f>
        <v>158720</v>
      </c>
      <c r="H25" s="52">
        <f>F23</f>
        <v>313100</v>
      </c>
      <c r="I25" s="49"/>
      <c r="J25" s="49"/>
      <c r="K25" s="49"/>
    </row>
    <row r="26" spans="1:11" ht="23.25" customHeight="1">
      <c r="A26" s="29">
        <v>7</v>
      </c>
      <c r="B26" s="30" t="s">
        <v>170</v>
      </c>
      <c r="C26" s="31">
        <f>342+1718+765+71.5+20+1.5</f>
        <v>2918</v>
      </c>
      <c r="D26" s="3" t="s">
        <v>32</v>
      </c>
      <c r="E26" s="3" t="s">
        <v>35</v>
      </c>
      <c r="F26" s="55">
        <f>4*7078</f>
        <v>28312</v>
      </c>
      <c r="G26" s="52"/>
      <c r="H26" s="52"/>
      <c r="I26" s="49"/>
      <c r="J26" s="49"/>
      <c r="K26" s="49"/>
    </row>
    <row r="27" spans="1:11" ht="18.75" customHeight="1">
      <c r="A27" s="29"/>
      <c r="B27" s="30"/>
      <c r="C27" s="31"/>
      <c r="D27" s="17" t="s">
        <v>113</v>
      </c>
      <c r="E27" s="17"/>
      <c r="F27" s="56">
        <f>F26</f>
        <v>28312</v>
      </c>
      <c r="G27" s="52">
        <v>28312</v>
      </c>
      <c r="H27" s="52"/>
      <c r="I27" s="49"/>
      <c r="J27" s="49"/>
      <c r="K27" s="49"/>
    </row>
    <row r="28" spans="1:11" ht="30" customHeight="1">
      <c r="A28" s="29">
        <v>8</v>
      </c>
      <c r="B28" s="30" t="s">
        <v>254</v>
      </c>
      <c r="C28" s="32">
        <f>300.2+472+88.8+2120.59</f>
        <v>2981.59</v>
      </c>
      <c r="D28" s="17" t="s">
        <v>32</v>
      </c>
      <c r="E28" s="4" t="s">
        <v>116</v>
      </c>
      <c r="F28" s="57">
        <f>7078+8*1854</f>
        <v>21910</v>
      </c>
      <c r="G28" s="52"/>
      <c r="H28" s="52"/>
      <c r="I28" s="49"/>
      <c r="J28" s="49"/>
      <c r="K28" s="49"/>
    </row>
    <row r="29" spans="1:11" ht="22.5" customHeight="1">
      <c r="A29" s="29"/>
      <c r="B29" s="30"/>
      <c r="C29" s="32"/>
      <c r="D29" s="17" t="s">
        <v>113</v>
      </c>
      <c r="E29" s="4"/>
      <c r="F29" s="58">
        <f>F28</f>
        <v>21910</v>
      </c>
      <c r="G29" s="52"/>
      <c r="H29" s="52">
        <v>21910</v>
      </c>
      <c r="I29" s="49"/>
      <c r="J29" s="49"/>
      <c r="K29" s="49"/>
    </row>
    <row r="30" spans="1:11" ht="23.25" customHeight="1">
      <c r="A30" s="29">
        <v>9</v>
      </c>
      <c r="B30" s="30" t="s">
        <v>171</v>
      </c>
      <c r="C30" s="32">
        <f>159.6+340.4+72+1.5+4004.3</f>
        <v>4577.8</v>
      </c>
      <c r="D30" s="17" t="s">
        <v>32</v>
      </c>
      <c r="E30" s="4" t="s">
        <v>2</v>
      </c>
      <c r="F30" s="57">
        <f>4*1854</f>
        <v>7416</v>
      </c>
      <c r="G30" s="52"/>
      <c r="H30" s="52"/>
      <c r="I30" s="49"/>
      <c r="J30" s="49"/>
      <c r="K30" s="49"/>
    </row>
    <row r="31" spans="1:11" ht="23.25" customHeight="1">
      <c r="A31" s="29"/>
      <c r="B31" s="30"/>
      <c r="C31" s="32"/>
      <c r="D31" s="17" t="s">
        <v>113</v>
      </c>
      <c r="E31" s="4"/>
      <c r="F31" s="58">
        <f>F30</f>
        <v>7416</v>
      </c>
      <c r="G31" s="52">
        <v>7416</v>
      </c>
      <c r="H31" s="52"/>
      <c r="I31" s="49"/>
      <c r="J31" s="49"/>
      <c r="K31" s="49"/>
    </row>
    <row r="32" spans="1:11" ht="22.5" customHeight="1">
      <c r="A32" s="29">
        <v>10</v>
      </c>
      <c r="B32" s="30" t="s">
        <v>172</v>
      </c>
      <c r="C32" s="32">
        <f>345+492.6+16.5+98+1.5+1709.36</f>
        <v>2662.96</v>
      </c>
      <c r="D32" s="4" t="s">
        <v>26</v>
      </c>
      <c r="E32" s="4">
        <v>492.6</v>
      </c>
      <c r="F32" s="57">
        <f>492.6*500.96</f>
        <v>246772.896</v>
      </c>
      <c r="G32" s="52"/>
      <c r="H32" s="52"/>
      <c r="I32" s="49"/>
      <c r="J32" s="49"/>
      <c r="K32" s="49">
        <v>120000</v>
      </c>
    </row>
    <row r="33" spans="1:11" ht="24" customHeight="1">
      <c r="A33" s="29"/>
      <c r="B33" s="30"/>
      <c r="C33" s="32"/>
      <c r="D33" s="4" t="s">
        <v>113</v>
      </c>
      <c r="E33" s="4"/>
      <c r="F33" s="58">
        <f>F32</f>
        <v>246772.896</v>
      </c>
      <c r="G33" s="52"/>
      <c r="H33" s="52">
        <v>246772.9</v>
      </c>
      <c r="I33" s="49"/>
      <c r="J33" s="49"/>
      <c r="K33" s="49"/>
    </row>
    <row r="34" spans="1:11" ht="22.5" customHeight="1">
      <c r="A34" s="29">
        <v>11</v>
      </c>
      <c r="B34" s="33" t="s">
        <v>117</v>
      </c>
      <c r="C34" s="32">
        <f>385.1+411.5+144+243.4+1.5+4180.12</f>
        <v>5365.62</v>
      </c>
      <c r="D34" s="4" t="s">
        <v>33</v>
      </c>
      <c r="E34" s="4">
        <f>66-4</f>
        <v>62</v>
      </c>
      <c r="F34" s="57">
        <f>62*873</f>
        <v>54126</v>
      </c>
      <c r="G34" s="52"/>
      <c r="H34" s="52"/>
      <c r="I34" s="49"/>
      <c r="J34" s="49"/>
      <c r="K34" s="49"/>
    </row>
    <row r="35" spans="1:11" ht="21.75" customHeight="1">
      <c r="A35" s="29"/>
      <c r="B35" s="33"/>
      <c r="C35" s="32"/>
      <c r="D35" s="12" t="s">
        <v>30</v>
      </c>
      <c r="E35" s="4">
        <v>66</v>
      </c>
      <c r="F35" s="57">
        <f>66*1761.64</f>
        <v>116268.24</v>
      </c>
      <c r="G35" s="52"/>
      <c r="H35" s="52"/>
      <c r="I35" s="49"/>
      <c r="J35" s="49"/>
      <c r="K35" s="49"/>
    </row>
    <row r="36" spans="1:11" ht="19.5" customHeight="1">
      <c r="A36" s="29"/>
      <c r="B36" s="33"/>
      <c r="C36" s="32"/>
      <c r="D36" s="12" t="s">
        <v>26</v>
      </c>
      <c r="E36" s="4">
        <v>385.1</v>
      </c>
      <c r="F36" s="57">
        <f>385.1*500.96</f>
        <v>192919.696</v>
      </c>
      <c r="G36" s="52"/>
      <c r="H36" s="52"/>
      <c r="I36" s="49"/>
      <c r="J36" s="49"/>
      <c r="K36" s="49"/>
    </row>
    <row r="37" spans="1:11" ht="21" customHeight="1">
      <c r="A37" s="29"/>
      <c r="B37" s="33"/>
      <c r="C37" s="32"/>
      <c r="D37" s="12" t="s">
        <v>161</v>
      </c>
      <c r="E37" s="4">
        <v>4</v>
      </c>
      <c r="F37" s="57">
        <f>4*12722</f>
        <v>50888</v>
      </c>
      <c r="G37" s="52"/>
      <c r="H37" s="52"/>
      <c r="I37" s="49"/>
      <c r="J37" s="49"/>
      <c r="K37" s="49"/>
    </row>
    <row r="38" spans="1:11" ht="21" customHeight="1">
      <c r="A38" s="29"/>
      <c r="B38" s="33"/>
      <c r="C38" s="32"/>
      <c r="D38" s="12" t="s">
        <v>32</v>
      </c>
      <c r="E38" s="4" t="s">
        <v>46</v>
      </c>
      <c r="F38" s="57">
        <f>11992+22375</f>
        <v>34367</v>
      </c>
      <c r="G38" s="52"/>
      <c r="H38" s="52"/>
      <c r="I38" s="49"/>
      <c r="J38" s="49"/>
      <c r="K38" s="49"/>
    </row>
    <row r="39" spans="1:11" ht="21.75" customHeight="1">
      <c r="A39" s="29"/>
      <c r="B39" s="33"/>
      <c r="C39" s="32"/>
      <c r="D39" s="17" t="s">
        <v>113</v>
      </c>
      <c r="E39" s="12"/>
      <c r="F39" s="59">
        <f>SUM(F34:F38)</f>
        <v>448568.936</v>
      </c>
      <c r="G39" s="52"/>
      <c r="H39" s="52">
        <v>397680.94</v>
      </c>
      <c r="I39" s="49">
        <f>F37</f>
        <v>50888</v>
      </c>
      <c r="J39" s="49"/>
      <c r="K39" s="49"/>
    </row>
    <row r="40" spans="1:11" ht="18.75" customHeight="1">
      <c r="A40" s="29">
        <v>12</v>
      </c>
      <c r="B40" s="33" t="s">
        <v>173</v>
      </c>
      <c r="C40" s="31">
        <f>384.5+70+2064.59</f>
        <v>2519.09</v>
      </c>
      <c r="D40" s="17" t="s">
        <v>26</v>
      </c>
      <c r="E40" s="12">
        <v>384.5</v>
      </c>
      <c r="F40" s="60">
        <f>384.5*500.96</f>
        <v>192619.12</v>
      </c>
      <c r="G40" s="49"/>
      <c r="H40" s="49"/>
      <c r="I40" s="49"/>
      <c r="J40" s="49"/>
      <c r="K40" s="49"/>
    </row>
    <row r="41" spans="1:11" ht="20.25" customHeight="1">
      <c r="A41" s="29"/>
      <c r="B41" s="33"/>
      <c r="C41" s="31"/>
      <c r="D41" s="17" t="s">
        <v>36</v>
      </c>
      <c r="E41" s="12">
        <v>4.5</v>
      </c>
      <c r="F41" s="60">
        <f>4.5*1275.7</f>
        <v>5740.650000000001</v>
      </c>
      <c r="G41" s="49"/>
      <c r="H41" s="49"/>
      <c r="I41" s="49"/>
      <c r="J41" s="49"/>
      <c r="K41" s="49"/>
    </row>
    <row r="42" spans="1:11" ht="20.25" customHeight="1">
      <c r="A42" s="29"/>
      <c r="B42" s="33"/>
      <c r="C42" s="31"/>
      <c r="D42" s="17" t="s">
        <v>33</v>
      </c>
      <c r="E42" s="12">
        <v>20</v>
      </c>
      <c r="F42" s="60">
        <f>20*873</f>
        <v>17460</v>
      </c>
      <c r="G42" s="49"/>
      <c r="H42" s="49"/>
      <c r="I42" s="49"/>
      <c r="J42" s="49"/>
      <c r="K42" s="49"/>
    </row>
    <row r="43" spans="1:11" ht="31.5" customHeight="1">
      <c r="A43" s="29"/>
      <c r="B43" s="33"/>
      <c r="C43" s="31"/>
      <c r="D43" s="18" t="s">
        <v>32</v>
      </c>
      <c r="E43" s="18" t="s">
        <v>37</v>
      </c>
      <c r="F43" s="49">
        <f>4*7078+4*1854+11992+104650</f>
        <v>152370</v>
      </c>
      <c r="G43" s="49"/>
      <c r="H43" s="49"/>
      <c r="I43" s="49"/>
      <c r="J43" s="49"/>
      <c r="K43" s="49"/>
    </row>
    <row r="44" spans="1:11" ht="21.75" customHeight="1">
      <c r="A44" s="29"/>
      <c r="B44" s="33"/>
      <c r="C44" s="31"/>
      <c r="D44" s="18" t="s">
        <v>113</v>
      </c>
      <c r="E44" s="18"/>
      <c r="F44" s="50">
        <f>SUM(F40:F43)</f>
        <v>368189.77</v>
      </c>
      <c r="G44" s="49">
        <f>F43+F41</f>
        <v>158110.65</v>
      </c>
      <c r="H44" s="49">
        <f>F40</f>
        <v>192619.12</v>
      </c>
      <c r="I44" s="49">
        <f>F42</f>
        <v>17460</v>
      </c>
      <c r="J44" s="49"/>
      <c r="K44" s="49"/>
    </row>
    <row r="45" spans="1:11" ht="27" customHeight="1">
      <c r="A45" s="29">
        <v>13</v>
      </c>
      <c r="B45" s="30" t="s">
        <v>174</v>
      </c>
      <c r="C45" s="32">
        <f>136.2+195+210+315.1+108.1+1.5+4973.9</f>
        <v>5939.799999999999</v>
      </c>
      <c r="D45" s="3" t="s">
        <v>32</v>
      </c>
      <c r="E45" s="3" t="s">
        <v>120</v>
      </c>
      <c r="F45" s="61">
        <f>7078+8*1854+7*7078+104650</f>
        <v>176106</v>
      </c>
      <c r="G45" s="52"/>
      <c r="H45" s="52"/>
      <c r="I45" s="49"/>
      <c r="J45" s="49"/>
      <c r="K45" s="49"/>
    </row>
    <row r="46" spans="1:11" ht="22.5" customHeight="1">
      <c r="A46" s="29"/>
      <c r="B46" s="30"/>
      <c r="C46" s="32"/>
      <c r="D46" s="3" t="s">
        <v>113</v>
      </c>
      <c r="E46" s="3"/>
      <c r="F46" s="56">
        <f>F45</f>
        <v>176106</v>
      </c>
      <c r="G46" s="52"/>
      <c r="H46" s="52"/>
      <c r="I46" s="49">
        <f>F46</f>
        <v>176106</v>
      </c>
      <c r="J46" s="49"/>
      <c r="K46" s="49"/>
    </row>
    <row r="47" spans="1:11" ht="20.25" customHeight="1">
      <c r="A47" s="29">
        <v>14</v>
      </c>
      <c r="B47" s="30" t="s">
        <v>253</v>
      </c>
      <c r="C47" s="32">
        <f>289+284.9+180+70+1.5+4782.04</f>
        <v>5607.44</v>
      </c>
      <c r="D47" s="3" t="s">
        <v>30</v>
      </c>
      <c r="E47" s="3">
        <f>82.9+89.6</f>
        <v>172.5</v>
      </c>
      <c r="F47" s="61">
        <f>82.9*1761.64+89.6*1761.64</f>
        <v>303882.9</v>
      </c>
      <c r="G47" s="52"/>
      <c r="H47" s="52"/>
      <c r="I47" s="49"/>
      <c r="J47" s="49"/>
      <c r="K47" s="49"/>
    </row>
    <row r="48" spans="1:11" ht="21" customHeight="1">
      <c r="A48" s="29"/>
      <c r="B48" s="30"/>
      <c r="C48" s="32"/>
      <c r="D48" s="3" t="s">
        <v>33</v>
      </c>
      <c r="E48" s="3">
        <f>82.9-4+30</f>
        <v>108.9</v>
      </c>
      <c r="F48" s="61">
        <f>108.9*873</f>
        <v>95069.70000000001</v>
      </c>
      <c r="G48" s="52"/>
      <c r="H48" s="52"/>
      <c r="I48" s="49"/>
      <c r="J48" s="49"/>
      <c r="K48" s="49"/>
    </row>
    <row r="49" spans="1:11" ht="46.5" customHeight="1">
      <c r="A49" s="29"/>
      <c r="B49" s="30"/>
      <c r="C49" s="32"/>
      <c r="D49" s="3" t="s">
        <v>32</v>
      </c>
      <c r="E49" s="3" t="s">
        <v>118</v>
      </c>
      <c r="F49" s="61">
        <f>4*1854+6*1854+193212.5+2*7078+11992+23400*2</f>
        <v>284700.5</v>
      </c>
      <c r="G49" s="52"/>
      <c r="H49" s="52"/>
      <c r="I49" s="49"/>
      <c r="J49" s="49"/>
      <c r="K49" s="49"/>
    </row>
    <row r="50" spans="1:11" ht="23.25" customHeight="1">
      <c r="A50" s="29"/>
      <c r="B50" s="30"/>
      <c r="C50" s="32"/>
      <c r="D50" s="3" t="s">
        <v>161</v>
      </c>
      <c r="E50" s="3">
        <v>2</v>
      </c>
      <c r="F50" s="61">
        <f>2*12722</f>
        <v>25444</v>
      </c>
      <c r="G50" s="52"/>
      <c r="H50" s="52"/>
      <c r="I50" s="49"/>
      <c r="J50" s="49"/>
      <c r="K50" s="49"/>
    </row>
    <row r="51" spans="1:11" ht="23.25" customHeight="1">
      <c r="A51" s="29"/>
      <c r="B51" s="30"/>
      <c r="C51" s="32"/>
      <c r="D51" s="3" t="s">
        <v>26</v>
      </c>
      <c r="E51" s="3">
        <f>289+284.9+180</f>
        <v>753.9</v>
      </c>
      <c r="F51" s="61">
        <f>753.9*500.96</f>
        <v>377673.74399999995</v>
      </c>
      <c r="G51" s="52"/>
      <c r="H51" s="52"/>
      <c r="I51" s="49"/>
      <c r="J51" s="49"/>
      <c r="K51" s="49"/>
    </row>
    <row r="52" spans="1:11" ht="21" customHeight="1">
      <c r="A52" s="29"/>
      <c r="B52" s="30"/>
      <c r="C52" s="32"/>
      <c r="D52" s="3" t="s">
        <v>113</v>
      </c>
      <c r="E52" s="3"/>
      <c r="F52" s="56">
        <f>SUM(F47:F51)</f>
        <v>1086770.844</v>
      </c>
      <c r="G52" s="52">
        <f>10*1854</f>
        <v>18540</v>
      </c>
      <c r="H52" s="52">
        <f>F48+F47</f>
        <v>398952.60000000003</v>
      </c>
      <c r="I52" s="49">
        <f>F51+F50+F49-10*1854</f>
        <v>669278.244</v>
      </c>
      <c r="J52" s="49"/>
      <c r="K52" s="49"/>
    </row>
    <row r="53" spans="1:11" ht="21" customHeight="1">
      <c r="A53" s="29">
        <v>15</v>
      </c>
      <c r="B53" s="30" t="s">
        <v>175</v>
      </c>
      <c r="C53" s="32">
        <f>157.5+320+344+121+1.5+4175.54</f>
        <v>5119.54</v>
      </c>
      <c r="D53" s="3" t="s">
        <v>30</v>
      </c>
      <c r="E53" s="3">
        <f>78.1+84.1</f>
        <v>162.2</v>
      </c>
      <c r="F53" s="61">
        <f>78.1*1761.64+84.1*1761.64</f>
        <v>285738.00800000003</v>
      </c>
      <c r="G53" s="52"/>
      <c r="H53" s="52"/>
      <c r="I53" s="49"/>
      <c r="J53" s="49"/>
      <c r="K53" s="49"/>
    </row>
    <row r="54" spans="1:11" ht="23.25" customHeight="1">
      <c r="A54" s="29"/>
      <c r="B54" s="30"/>
      <c r="C54" s="32"/>
      <c r="D54" s="3" t="s">
        <v>39</v>
      </c>
      <c r="E54" s="3">
        <v>4.5</v>
      </c>
      <c r="F54" s="61">
        <f>4.5*1275.75</f>
        <v>5740.875</v>
      </c>
      <c r="G54" s="52"/>
      <c r="H54" s="52"/>
      <c r="I54" s="49"/>
      <c r="J54" s="49"/>
      <c r="K54" s="49"/>
    </row>
    <row r="55" spans="1:11" ht="23.25" customHeight="1">
      <c r="A55" s="29"/>
      <c r="B55" s="30"/>
      <c r="C55" s="32"/>
      <c r="D55" s="3" t="s">
        <v>33</v>
      </c>
      <c r="E55" s="3">
        <v>30</v>
      </c>
      <c r="F55" s="61">
        <f>30*873</f>
        <v>26190</v>
      </c>
      <c r="G55" s="52"/>
      <c r="H55" s="52"/>
      <c r="I55" s="49"/>
      <c r="J55" s="49"/>
      <c r="K55" s="49"/>
    </row>
    <row r="56" spans="1:11" ht="28.5" customHeight="1">
      <c r="A56" s="29"/>
      <c r="B56" s="30"/>
      <c r="C56" s="32"/>
      <c r="D56" s="3" t="s">
        <v>32</v>
      </c>
      <c r="E56" s="3" t="s">
        <v>119</v>
      </c>
      <c r="F56" s="61">
        <f>4*1854+6*1854+241762.5+2*7078+3*5000</f>
        <v>289458.5</v>
      </c>
      <c r="G56" s="52"/>
      <c r="H56" s="52"/>
      <c r="I56" s="49"/>
      <c r="J56" s="49"/>
      <c r="K56" s="49"/>
    </row>
    <row r="57" spans="1:11" ht="23.25" customHeight="1">
      <c r="A57" s="29"/>
      <c r="B57" s="30"/>
      <c r="C57" s="32"/>
      <c r="D57" s="3" t="s">
        <v>26</v>
      </c>
      <c r="E57" s="3">
        <f>320+157.5+344</f>
        <v>821.5</v>
      </c>
      <c r="F57" s="61">
        <f>821.5*500.96</f>
        <v>411538.63999999996</v>
      </c>
      <c r="G57" s="52"/>
      <c r="H57" s="52"/>
      <c r="I57" s="49"/>
      <c r="J57" s="49"/>
      <c r="K57" s="49"/>
    </row>
    <row r="58" spans="1:11" ht="23.25" customHeight="1">
      <c r="A58" s="29"/>
      <c r="B58" s="30"/>
      <c r="C58" s="32"/>
      <c r="D58" s="3" t="s">
        <v>113</v>
      </c>
      <c r="E58" s="3"/>
      <c r="F58" s="56">
        <f>SUM(F53:F57)</f>
        <v>1018666.023</v>
      </c>
      <c r="G58" s="52">
        <f>10*1854+F54</f>
        <v>24280.875</v>
      </c>
      <c r="H58" s="52">
        <f>F53+F55</f>
        <v>311928.00800000003</v>
      </c>
      <c r="I58" s="49">
        <f>F57+F56-10*1854</f>
        <v>682457.1399999999</v>
      </c>
      <c r="J58" s="49"/>
      <c r="K58" s="49"/>
    </row>
    <row r="59" spans="1:11" ht="23.25" customHeight="1">
      <c r="A59" s="29">
        <v>16</v>
      </c>
      <c r="B59" s="33" t="s">
        <v>176</v>
      </c>
      <c r="C59" s="32">
        <v>4495</v>
      </c>
      <c r="D59" s="17" t="s">
        <v>26</v>
      </c>
      <c r="E59" s="3">
        <v>200</v>
      </c>
      <c r="F59" s="61">
        <f>200*500.96</f>
        <v>100192</v>
      </c>
      <c r="G59" s="52"/>
      <c r="H59" s="52"/>
      <c r="I59" s="49"/>
      <c r="J59" s="49"/>
      <c r="K59" s="49"/>
    </row>
    <row r="60" spans="1:11" ht="23.25" customHeight="1">
      <c r="A60" s="29"/>
      <c r="B60" s="33"/>
      <c r="C60" s="32"/>
      <c r="D60" s="17" t="s">
        <v>33</v>
      </c>
      <c r="E60" s="17">
        <v>30</v>
      </c>
      <c r="F60" s="61">
        <f>30*873</f>
        <v>26190</v>
      </c>
      <c r="G60" s="52"/>
      <c r="H60" s="52"/>
      <c r="I60" s="49"/>
      <c r="J60" s="49"/>
      <c r="K60" s="49"/>
    </row>
    <row r="61" spans="1:11" ht="22.5" customHeight="1">
      <c r="A61" s="29"/>
      <c r="B61" s="33"/>
      <c r="C61" s="32"/>
      <c r="D61" s="17" t="s">
        <v>32</v>
      </c>
      <c r="E61" s="18" t="s">
        <v>40</v>
      </c>
      <c r="F61" s="49">
        <f>2*1854+104650+2*7078</f>
        <v>122514</v>
      </c>
      <c r="G61" s="49"/>
      <c r="H61" s="49"/>
      <c r="I61" s="49"/>
      <c r="J61" s="49"/>
      <c r="K61" s="49"/>
    </row>
    <row r="62" spans="1:11" ht="23.25" customHeight="1">
      <c r="A62" s="29"/>
      <c r="B62" s="33"/>
      <c r="C62" s="32"/>
      <c r="D62" s="17" t="s">
        <v>113</v>
      </c>
      <c r="E62" s="18"/>
      <c r="F62" s="50">
        <f>SUM(F59:F61)</f>
        <v>248896</v>
      </c>
      <c r="G62" s="49">
        <f>F61</f>
        <v>122514</v>
      </c>
      <c r="H62" s="49">
        <f>F60</f>
        <v>26190</v>
      </c>
      <c r="I62" s="49">
        <f>F59</f>
        <v>100192</v>
      </c>
      <c r="J62" s="49"/>
      <c r="K62" s="49"/>
    </row>
    <row r="63" spans="1:11" ht="25.5" customHeight="1">
      <c r="A63" s="29">
        <v>17</v>
      </c>
      <c r="B63" s="33" t="s">
        <v>251</v>
      </c>
      <c r="C63" s="32">
        <f>180+501.6+175.5+1274.1+3040.3</f>
        <v>5171.5</v>
      </c>
      <c r="D63" s="17" t="s">
        <v>26</v>
      </c>
      <c r="E63" s="18">
        <f>180+501.6+175.5</f>
        <v>857.1</v>
      </c>
      <c r="F63" s="49">
        <f>857.1*500.96</f>
        <v>429372.816</v>
      </c>
      <c r="G63" s="49"/>
      <c r="H63" s="49"/>
      <c r="I63" s="49"/>
      <c r="J63" s="49"/>
      <c r="K63" s="49"/>
    </row>
    <row r="64" spans="1:11" ht="24" customHeight="1">
      <c r="A64" s="29"/>
      <c r="B64" s="33"/>
      <c r="C64" s="32"/>
      <c r="D64" s="17" t="s">
        <v>33</v>
      </c>
      <c r="E64" s="18">
        <v>60</v>
      </c>
      <c r="F64" s="49">
        <f>60*873</f>
        <v>52380</v>
      </c>
      <c r="G64" s="49"/>
      <c r="H64" s="49"/>
      <c r="I64" s="49"/>
      <c r="J64" s="49"/>
      <c r="K64" s="49"/>
    </row>
    <row r="65" spans="1:11" ht="2.25" customHeight="1">
      <c r="A65" s="29"/>
      <c r="B65" s="33"/>
      <c r="C65" s="32"/>
      <c r="D65" s="39" t="s">
        <v>32</v>
      </c>
      <c r="E65" s="40" t="s">
        <v>41</v>
      </c>
      <c r="F65" s="62">
        <f>3*1854+3*7078+14300+3*5000+2*1854+2*7078+3*1854+3*7078+14300+3*7078+3*1854+1*56500+5*2601</f>
        <v>211357</v>
      </c>
      <c r="G65" s="62"/>
      <c r="H65" s="62"/>
      <c r="I65" s="62"/>
      <c r="J65" s="62"/>
      <c r="K65" s="62"/>
    </row>
    <row r="66" spans="1:11" ht="27" customHeight="1">
      <c r="A66" s="29"/>
      <c r="B66" s="33"/>
      <c r="C66" s="32"/>
      <c r="D66" s="39"/>
      <c r="E66" s="40"/>
      <c r="F66" s="62"/>
      <c r="G66" s="62"/>
      <c r="H66" s="62"/>
      <c r="I66" s="62"/>
      <c r="J66" s="62"/>
      <c r="K66" s="62"/>
    </row>
    <row r="67" spans="1:11" ht="25.5" customHeight="1">
      <c r="A67" s="29"/>
      <c r="B67" s="33"/>
      <c r="C67" s="32"/>
      <c r="D67" s="17" t="s">
        <v>161</v>
      </c>
      <c r="E67" s="18">
        <v>6</v>
      </c>
      <c r="F67" s="49">
        <f>6*12722</f>
        <v>76332</v>
      </c>
      <c r="G67" s="49"/>
      <c r="H67" s="49"/>
      <c r="I67" s="49"/>
      <c r="J67" s="49"/>
      <c r="K67" s="49"/>
    </row>
    <row r="68" spans="1:11" ht="21.75" customHeight="1">
      <c r="A68" s="29"/>
      <c r="B68" s="33"/>
      <c r="C68" s="32"/>
      <c r="D68" s="17" t="s">
        <v>113</v>
      </c>
      <c r="E68" s="18"/>
      <c r="F68" s="50">
        <f>SUM(F63:F66)</f>
        <v>693109.816</v>
      </c>
      <c r="G68" s="49">
        <f>F65</f>
        <v>211357</v>
      </c>
      <c r="H68" s="49">
        <f>F64</f>
        <v>52380</v>
      </c>
      <c r="I68" s="49">
        <f>F63+F67</f>
        <v>505704.816</v>
      </c>
      <c r="J68" s="49"/>
      <c r="K68" s="49"/>
    </row>
    <row r="69" spans="1:11" ht="44.25" customHeight="1">
      <c r="A69" s="29">
        <v>18</v>
      </c>
      <c r="B69" s="33" t="s">
        <v>252</v>
      </c>
      <c r="C69" s="31">
        <f>227.9+150+137.5+100+1.5+5515.9</f>
        <v>6132.799999999999</v>
      </c>
      <c r="D69" s="17" t="s">
        <v>32</v>
      </c>
      <c r="E69" s="18" t="s">
        <v>149</v>
      </c>
      <c r="F69" s="49">
        <f>3*184+3*7078+11992+7078+63987.5</f>
        <v>104843.5</v>
      </c>
      <c r="G69" s="49"/>
      <c r="H69" s="49"/>
      <c r="I69" s="49"/>
      <c r="J69" s="49"/>
      <c r="K69" s="49"/>
    </row>
    <row r="70" spans="1:11" ht="22.5" customHeight="1">
      <c r="A70" s="29"/>
      <c r="B70" s="33"/>
      <c r="C70" s="31"/>
      <c r="D70" s="17" t="s">
        <v>113</v>
      </c>
      <c r="E70" s="18"/>
      <c r="F70" s="50">
        <f>F69</f>
        <v>104843.5</v>
      </c>
      <c r="G70" s="49"/>
      <c r="H70" s="49">
        <f>F70</f>
        <v>104843.5</v>
      </c>
      <c r="I70" s="49"/>
      <c r="J70" s="49"/>
      <c r="K70" s="49"/>
    </row>
    <row r="71" spans="1:11" ht="23.25" customHeight="1">
      <c r="A71" s="29">
        <v>19</v>
      </c>
      <c r="B71" s="33" t="s">
        <v>121</v>
      </c>
      <c r="C71" s="31">
        <f>227.5+874+80+100+1.5+993.8</f>
        <v>2276.8</v>
      </c>
      <c r="D71" s="17" t="s">
        <v>26</v>
      </c>
      <c r="E71" s="18">
        <v>227.5</v>
      </c>
      <c r="F71" s="49">
        <f>227.5*500.96</f>
        <v>113968.4</v>
      </c>
      <c r="G71" s="49"/>
      <c r="H71" s="49"/>
      <c r="I71" s="49"/>
      <c r="J71" s="49"/>
      <c r="K71" s="49"/>
    </row>
    <row r="72" spans="1:11" ht="22.5" customHeight="1">
      <c r="A72" s="29"/>
      <c r="B72" s="33"/>
      <c r="C72" s="31"/>
      <c r="D72" s="17" t="s">
        <v>33</v>
      </c>
      <c r="E72" s="18">
        <v>22</v>
      </c>
      <c r="F72" s="49">
        <f>22*873</f>
        <v>19206</v>
      </c>
      <c r="G72" s="49"/>
      <c r="H72" s="49"/>
      <c r="I72" s="49"/>
      <c r="J72" s="49"/>
      <c r="K72" s="49"/>
    </row>
    <row r="73" spans="1:11" ht="32.25" customHeight="1">
      <c r="A73" s="29"/>
      <c r="B73" s="33"/>
      <c r="C73" s="31"/>
      <c r="D73" s="17" t="s">
        <v>32</v>
      </c>
      <c r="E73" s="18" t="s">
        <v>42</v>
      </c>
      <c r="F73" s="49">
        <f>2*1854+100038+2*7078+2*7078</f>
        <v>132058</v>
      </c>
      <c r="G73" s="49"/>
      <c r="H73" s="49"/>
      <c r="I73" s="49"/>
      <c r="J73" s="49"/>
      <c r="K73" s="49"/>
    </row>
    <row r="74" spans="1:11" ht="24" customHeight="1">
      <c r="A74" s="29"/>
      <c r="B74" s="33"/>
      <c r="C74" s="31"/>
      <c r="D74" s="17" t="s">
        <v>161</v>
      </c>
      <c r="E74" s="18">
        <v>2</v>
      </c>
      <c r="F74" s="49">
        <f>2*12722</f>
        <v>25444</v>
      </c>
      <c r="G74" s="49"/>
      <c r="H74" s="49"/>
      <c r="I74" s="49"/>
      <c r="J74" s="49"/>
      <c r="K74" s="49"/>
    </row>
    <row r="75" spans="1:11" ht="27" customHeight="1">
      <c r="A75" s="29"/>
      <c r="B75" s="33"/>
      <c r="C75" s="31"/>
      <c r="D75" s="20" t="s">
        <v>88</v>
      </c>
      <c r="E75" s="18">
        <v>45</v>
      </c>
      <c r="F75" s="49">
        <f>45*1000</f>
        <v>45000</v>
      </c>
      <c r="G75" s="49"/>
      <c r="H75" s="49"/>
      <c r="I75" s="49"/>
      <c r="J75" s="49"/>
      <c r="K75" s="49"/>
    </row>
    <row r="76" spans="1:11" ht="21" customHeight="1">
      <c r="A76" s="29"/>
      <c r="B76" s="33"/>
      <c r="C76" s="31"/>
      <c r="D76" s="20" t="s">
        <v>113</v>
      </c>
      <c r="E76" s="18"/>
      <c r="F76" s="50">
        <f>SUM(F71:F75)</f>
        <v>335676.4</v>
      </c>
      <c r="G76" s="49">
        <f>F73</f>
        <v>132058</v>
      </c>
      <c r="H76" s="49">
        <f>F72</f>
        <v>19206</v>
      </c>
      <c r="I76" s="49">
        <f>F76-G76-H76+F74</f>
        <v>209856.40000000002</v>
      </c>
      <c r="J76" s="49"/>
      <c r="K76" s="49"/>
    </row>
    <row r="77" spans="1:11" ht="22.5" customHeight="1">
      <c r="A77" s="29">
        <v>20</v>
      </c>
      <c r="B77" s="33" t="s">
        <v>250</v>
      </c>
      <c r="C77" s="31">
        <f>250.5+518+100+1.5+1303.8</f>
        <v>2173.8</v>
      </c>
      <c r="D77" s="17" t="s">
        <v>26</v>
      </c>
      <c r="E77" s="18">
        <v>210</v>
      </c>
      <c r="F77" s="49">
        <f>210*500.96</f>
        <v>105201.59999999999</v>
      </c>
      <c r="G77" s="49"/>
      <c r="H77" s="49"/>
      <c r="I77" s="49"/>
      <c r="J77" s="49"/>
      <c r="K77" s="49"/>
    </row>
    <row r="78" spans="1:11" ht="22.5" customHeight="1">
      <c r="A78" s="29"/>
      <c r="B78" s="33"/>
      <c r="C78" s="31"/>
      <c r="D78" s="17" t="s">
        <v>33</v>
      </c>
      <c r="E78" s="17">
        <v>40</v>
      </c>
      <c r="F78" s="49">
        <f>40*873</f>
        <v>34920</v>
      </c>
      <c r="G78" s="49"/>
      <c r="H78" s="49"/>
      <c r="I78" s="49"/>
      <c r="J78" s="49"/>
      <c r="K78" s="49"/>
    </row>
    <row r="79" spans="1:11" ht="32.25" customHeight="1">
      <c r="A79" s="29"/>
      <c r="B79" s="33"/>
      <c r="C79" s="31"/>
      <c r="D79" s="17" t="s">
        <v>32</v>
      </c>
      <c r="E79" s="18" t="s">
        <v>43</v>
      </c>
      <c r="F79" s="49">
        <f>8*1854+8*7078+463275+11992</f>
        <v>546723</v>
      </c>
      <c r="G79" s="49"/>
      <c r="H79" s="49"/>
      <c r="I79" s="49"/>
      <c r="J79" s="49"/>
      <c r="K79" s="49"/>
    </row>
    <row r="80" spans="1:11" ht="21" customHeight="1">
      <c r="A80" s="29"/>
      <c r="B80" s="33"/>
      <c r="C80" s="31"/>
      <c r="D80" s="17" t="s">
        <v>113</v>
      </c>
      <c r="E80" s="18"/>
      <c r="F80" s="50">
        <f>SUM(F77:F79)</f>
        <v>686844.6</v>
      </c>
      <c r="G80" s="49">
        <f>8*1854+8*7078</f>
        <v>71456</v>
      </c>
      <c r="H80" s="49">
        <f>F78+F77</f>
        <v>140121.59999999998</v>
      </c>
      <c r="I80" s="49">
        <f>F79-G80</f>
        <v>475267</v>
      </c>
      <c r="J80" s="49"/>
      <c r="K80" s="49"/>
    </row>
    <row r="81" spans="1:11" ht="24" customHeight="1">
      <c r="A81" s="29">
        <v>21</v>
      </c>
      <c r="B81" s="33" t="s">
        <v>177</v>
      </c>
      <c r="C81" s="31">
        <f>312+100+1.5+250.6</f>
        <v>664.1</v>
      </c>
      <c r="D81" s="17" t="s">
        <v>26</v>
      </c>
      <c r="E81" s="18">
        <v>312</v>
      </c>
      <c r="F81" s="49">
        <f>312*500.96</f>
        <v>156299.52</v>
      </c>
      <c r="G81" s="49"/>
      <c r="H81" s="49"/>
      <c r="I81" s="49"/>
      <c r="J81" s="49"/>
      <c r="K81" s="49"/>
    </row>
    <row r="82" spans="1:11" ht="25.5" customHeight="1">
      <c r="A82" s="29"/>
      <c r="B82" s="33"/>
      <c r="C82" s="31"/>
      <c r="D82" s="17" t="s">
        <v>33</v>
      </c>
      <c r="E82" s="18">
        <v>20</v>
      </c>
      <c r="F82" s="49">
        <f>20*873</f>
        <v>17460</v>
      </c>
      <c r="G82" s="49"/>
      <c r="H82" s="49"/>
      <c r="I82" s="49"/>
      <c r="J82" s="49"/>
      <c r="K82" s="49"/>
    </row>
    <row r="83" spans="1:11" ht="33" customHeight="1">
      <c r="A83" s="29"/>
      <c r="B83" s="33"/>
      <c r="C83" s="31"/>
      <c r="D83" s="17" t="s">
        <v>32</v>
      </c>
      <c r="E83" s="18" t="s">
        <v>44</v>
      </c>
      <c r="F83" s="49">
        <f>3*1854+3*7078+102537.5+2*7078</f>
        <v>143489.5</v>
      </c>
      <c r="G83" s="49"/>
      <c r="H83" s="49"/>
      <c r="I83" s="49"/>
      <c r="J83" s="49"/>
      <c r="K83" s="49"/>
    </row>
    <row r="84" spans="1:11" ht="20.25" customHeight="1">
      <c r="A84" s="29"/>
      <c r="B84" s="33"/>
      <c r="C84" s="31"/>
      <c r="D84" s="17" t="s">
        <v>113</v>
      </c>
      <c r="E84" s="18"/>
      <c r="F84" s="50">
        <f>SUM(F81:F83)</f>
        <v>317249.02</v>
      </c>
      <c r="G84" s="49">
        <f>F83</f>
        <v>143489.5</v>
      </c>
      <c r="H84" s="49">
        <f>F82</f>
        <v>17460</v>
      </c>
      <c r="I84" s="49">
        <f>F81</f>
        <v>156299.52</v>
      </c>
      <c r="J84" s="49"/>
      <c r="K84" s="49"/>
    </row>
    <row r="85" spans="1:11" ht="20.25" customHeight="1">
      <c r="A85" s="29">
        <v>22</v>
      </c>
      <c r="B85" s="38" t="s">
        <v>248</v>
      </c>
      <c r="C85" s="31">
        <v>8317</v>
      </c>
      <c r="D85" s="17" t="s">
        <v>32</v>
      </c>
      <c r="E85" s="18" t="s">
        <v>38</v>
      </c>
      <c r="F85" s="49">
        <f>4*1854</f>
        <v>7416</v>
      </c>
      <c r="G85" s="49"/>
      <c r="H85" s="49"/>
      <c r="I85" s="49"/>
      <c r="J85" s="49"/>
      <c r="K85" s="49"/>
    </row>
    <row r="86" spans="1:11" ht="24" customHeight="1">
      <c r="A86" s="29"/>
      <c r="B86" s="38"/>
      <c r="C86" s="31"/>
      <c r="D86" s="2" t="s">
        <v>26</v>
      </c>
      <c r="E86" s="2">
        <f>285*2</f>
        <v>570</v>
      </c>
      <c r="F86" s="55">
        <f>570*500.96</f>
        <v>285547.2</v>
      </c>
      <c r="G86" s="52"/>
      <c r="H86" s="52"/>
      <c r="I86" s="49"/>
      <c r="J86" s="49"/>
      <c r="K86" s="49"/>
    </row>
    <row r="87" spans="1:11" ht="21" customHeight="1">
      <c r="A87" s="29"/>
      <c r="B87" s="38"/>
      <c r="C87" s="31"/>
      <c r="D87" s="2" t="s">
        <v>113</v>
      </c>
      <c r="E87" s="2"/>
      <c r="F87" s="54">
        <f>SUM(F85:F86)</f>
        <v>292963.2</v>
      </c>
      <c r="G87" s="52">
        <f>F85</f>
        <v>7416</v>
      </c>
      <c r="H87" s="52"/>
      <c r="I87" s="49">
        <f>F86</f>
        <v>285547.2</v>
      </c>
      <c r="J87" s="49"/>
      <c r="K87" s="49"/>
    </row>
    <row r="88" spans="1:11" ht="33.75" customHeight="1">
      <c r="A88" s="15">
        <v>23</v>
      </c>
      <c r="B88" s="2" t="s">
        <v>249</v>
      </c>
      <c r="C88" s="23">
        <v>7261</v>
      </c>
      <c r="D88" s="2" t="s">
        <v>1</v>
      </c>
      <c r="E88" s="2">
        <v>570</v>
      </c>
      <c r="F88" s="54">
        <f>570*500.96</f>
        <v>285547.2</v>
      </c>
      <c r="G88" s="52">
        <f>F88</f>
        <v>285547.2</v>
      </c>
      <c r="H88" s="52"/>
      <c r="I88" s="49"/>
      <c r="J88" s="49"/>
      <c r="K88" s="49"/>
    </row>
    <row r="89" spans="1:11" ht="33" customHeight="1">
      <c r="A89" s="15">
        <v>24</v>
      </c>
      <c r="B89" s="3" t="s">
        <v>247</v>
      </c>
      <c r="C89" s="22">
        <f>362.1+444.7+402.7+150+1.5+2502.22</f>
        <v>3863.22</v>
      </c>
      <c r="D89" s="17" t="s">
        <v>32</v>
      </c>
      <c r="E89" s="2" t="s">
        <v>122</v>
      </c>
      <c r="F89" s="54">
        <f>12*1854</f>
        <v>22248</v>
      </c>
      <c r="G89" s="52">
        <f>F89</f>
        <v>22248</v>
      </c>
      <c r="H89" s="52"/>
      <c r="I89" s="49"/>
      <c r="J89" s="49"/>
      <c r="K89" s="49"/>
    </row>
    <row r="90" spans="1:11" ht="18" customHeight="1">
      <c r="A90" s="29">
        <v>25</v>
      </c>
      <c r="B90" s="30" t="s">
        <v>244</v>
      </c>
      <c r="C90" s="32">
        <v>7489</v>
      </c>
      <c r="D90" s="17" t="s">
        <v>30</v>
      </c>
      <c r="E90" s="2">
        <v>250</v>
      </c>
      <c r="F90" s="55">
        <f>250*1761.64</f>
        <v>440410</v>
      </c>
      <c r="G90" s="52"/>
      <c r="H90" s="52"/>
      <c r="I90" s="49"/>
      <c r="J90" s="49"/>
      <c r="K90" s="49"/>
    </row>
    <row r="91" spans="1:11" ht="18.75" customHeight="1">
      <c r="A91" s="29"/>
      <c r="B91" s="30"/>
      <c r="C91" s="32"/>
      <c r="D91" s="17" t="s">
        <v>32</v>
      </c>
      <c r="E91" s="2" t="s">
        <v>45</v>
      </c>
      <c r="F91" s="55">
        <f>3*56250</f>
        <v>168750</v>
      </c>
      <c r="G91" s="52"/>
      <c r="H91" s="49"/>
      <c r="I91" s="49"/>
      <c r="J91" s="49"/>
      <c r="K91" s="49"/>
    </row>
    <row r="92" spans="1:11" ht="20.25" customHeight="1">
      <c r="A92" s="29"/>
      <c r="B92" s="30"/>
      <c r="C92" s="32"/>
      <c r="D92" s="17" t="s">
        <v>113</v>
      </c>
      <c r="E92" s="2"/>
      <c r="F92" s="54">
        <f>SUM(F90:F91)</f>
        <v>609160</v>
      </c>
      <c r="G92" s="52"/>
      <c r="H92" s="49">
        <f>F92</f>
        <v>609160</v>
      </c>
      <c r="I92" s="49"/>
      <c r="J92" s="49"/>
      <c r="K92" s="49"/>
    </row>
    <row r="93" spans="1:11" ht="21.75" customHeight="1">
      <c r="A93" s="15">
        <v>26</v>
      </c>
      <c r="B93" s="12" t="s">
        <v>123</v>
      </c>
      <c r="C93" s="21">
        <f>121.6+250+1661.6</f>
        <v>2033.1999999999998</v>
      </c>
      <c r="D93" s="17" t="s">
        <v>32</v>
      </c>
      <c r="E93" s="18" t="s">
        <v>18</v>
      </c>
      <c r="F93" s="50">
        <f>104650+11922+22375</f>
        <v>138947</v>
      </c>
      <c r="G93" s="49">
        <f>F93</f>
        <v>138947</v>
      </c>
      <c r="H93" s="49"/>
      <c r="I93" s="49"/>
      <c r="J93" s="49"/>
      <c r="K93" s="49"/>
    </row>
    <row r="94" spans="1:11" ht="27" customHeight="1">
      <c r="A94" s="15">
        <v>27</v>
      </c>
      <c r="B94" s="12" t="s">
        <v>124</v>
      </c>
      <c r="C94" s="21">
        <f>505+80+1.5+1537.1</f>
        <v>2123.6</v>
      </c>
      <c r="D94" s="17" t="s">
        <v>32</v>
      </c>
      <c r="E94" s="18" t="s">
        <v>19</v>
      </c>
      <c r="F94" s="50">
        <v>63987.5</v>
      </c>
      <c r="G94" s="49">
        <f>F94</f>
        <v>63987.5</v>
      </c>
      <c r="H94" s="49"/>
      <c r="I94" s="49"/>
      <c r="J94" s="49"/>
      <c r="K94" s="49"/>
    </row>
    <row r="95" spans="1:11" ht="27" customHeight="1">
      <c r="A95" s="29">
        <v>28</v>
      </c>
      <c r="B95" s="33" t="s">
        <v>178</v>
      </c>
      <c r="C95" s="31">
        <f>354.5+80+1.5+712.2</f>
        <v>1148.2</v>
      </c>
      <c r="D95" s="17" t="s">
        <v>47</v>
      </c>
      <c r="E95" s="18">
        <v>80</v>
      </c>
      <c r="F95" s="49">
        <f>80*1100</f>
        <v>88000</v>
      </c>
      <c r="G95" s="49"/>
      <c r="H95" s="49"/>
      <c r="I95" s="49"/>
      <c r="J95" s="49"/>
      <c r="K95" s="49"/>
    </row>
    <row r="96" spans="1:11" ht="27" customHeight="1">
      <c r="A96" s="29"/>
      <c r="B96" s="33"/>
      <c r="C96" s="31"/>
      <c r="D96" s="18" t="s">
        <v>48</v>
      </c>
      <c r="E96" s="18">
        <v>1</v>
      </c>
      <c r="F96" s="49">
        <f>45*1100+50000</f>
        <v>99500</v>
      </c>
      <c r="G96" s="49"/>
      <c r="H96" s="49"/>
      <c r="I96" s="49"/>
      <c r="J96" s="49"/>
      <c r="K96" s="49"/>
    </row>
    <row r="97" spans="1:11" ht="24" customHeight="1">
      <c r="A97" s="29"/>
      <c r="B97" s="33"/>
      <c r="C97" s="31"/>
      <c r="D97" s="18" t="s">
        <v>113</v>
      </c>
      <c r="E97" s="18"/>
      <c r="F97" s="50">
        <f>SUM(F95:F96)</f>
        <v>187500</v>
      </c>
      <c r="G97" s="49">
        <f>F97</f>
        <v>187500</v>
      </c>
      <c r="H97" s="49"/>
      <c r="I97" s="49"/>
      <c r="J97" s="49"/>
      <c r="K97" s="49"/>
    </row>
    <row r="98" spans="1:11" ht="24.75" customHeight="1">
      <c r="A98" s="15">
        <v>29</v>
      </c>
      <c r="B98" s="12" t="s">
        <v>125</v>
      </c>
      <c r="C98" s="21">
        <v>8021</v>
      </c>
      <c r="D98" s="18" t="s">
        <v>49</v>
      </c>
      <c r="E98" s="18">
        <v>80</v>
      </c>
      <c r="F98" s="50">
        <v>70000</v>
      </c>
      <c r="G98" s="49">
        <f>F98</f>
        <v>70000</v>
      </c>
      <c r="H98" s="49"/>
      <c r="I98" s="49"/>
      <c r="J98" s="49"/>
      <c r="K98" s="49"/>
    </row>
    <row r="99" spans="1:11" ht="28.5" customHeight="1">
      <c r="A99" s="15">
        <v>30</v>
      </c>
      <c r="B99" s="12" t="s">
        <v>245</v>
      </c>
      <c r="C99" s="21">
        <v>7137</v>
      </c>
      <c r="D99" s="17" t="s">
        <v>32</v>
      </c>
      <c r="E99" s="18" t="s">
        <v>50</v>
      </c>
      <c r="F99" s="50">
        <f>8*7078+28750+11922+174180+97500+3000</f>
        <v>371976</v>
      </c>
      <c r="G99" s="49">
        <f>F99</f>
        <v>371976</v>
      </c>
      <c r="H99" s="49"/>
      <c r="I99" s="49"/>
      <c r="J99" s="49"/>
      <c r="K99" s="49"/>
    </row>
    <row r="100" spans="1:11" ht="21.75" customHeight="1">
      <c r="A100" s="29">
        <v>31</v>
      </c>
      <c r="B100" s="30" t="s">
        <v>179</v>
      </c>
      <c r="C100" s="31">
        <v>2029</v>
      </c>
      <c r="D100" s="17" t="s">
        <v>32</v>
      </c>
      <c r="E100" s="18" t="s">
        <v>51</v>
      </c>
      <c r="F100" s="49">
        <f>23400*2</f>
        <v>46800</v>
      </c>
      <c r="G100" s="49"/>
      <c r="H100" s="49"/>
      <c r="I100" s="49"/>
      <c r="J100" s="49"/>
      <c r="K100" s="49"/>
    </row>
    <row r="101" spans="1:11" ht="21.75" customHeight="1">
      <c r="A101" s="29"/>
      <c r="B101" s="30"/>
      <c r="C101" s="31"/>
      <c r="D101" s="12" t="s">
        <v>33</v>
      </c>
      <c r="E101" s="12">
        <v>132</v>
      </c>
      <c r="F101" s="60">
        <f>132*873</f>
        <v>115236</v>
      </c>
      <c r="G101" s="52"/>
      <c r="H101" s="52"/>
      <c r="I101" s="49"/>
      <c r="J101" s="49"/>
      <c r="K101" s="49"/>
    </row>
    <row r="102" spans="1:11" ht="20.25" customHeight="1">
      <c r="A102" s="29"/>
      <c r="B102" s="30"/>
      <c r="C102" s="31"/>
      <c r="D102" s="12" t="s">
        <v>113</v>
      </c>
      <c r="E102" s="12"/>
      <c r="F102" s="59">
        <f>SUM(F100:F101)</f>
        <v>162036</v>
      </c>
      <c r="G102" s="52">
        <f>F102</f>
        <v>162036</v>
      </c>
      <c r="H102" s="52"/>
      <c r="I102" s="49"/>
      <c r="J102" s="49"/>
      <c r="K102" s="49"/>
    </row>
    <row r="103" spans="1:11" ht="27" customHeight="1">
      <c r="A103" s="15">
        <v>32</v>
      </c>
      <c r="B103" s="12" t="s">
        <v>180</v>
      </c>
      <c r="C103" s="21">
        <v>7330</v>
      </c>
      <c r="D103" s="12" t="s">
        <v>33</v>
      </c>
      <c r="E103" s="12">
        <v>75</v>
      </c>
      <c r="F103" s="59">
        <f>75*873</f>
        <v>65475</v>
      </c>
      <c r="G103" s="52">
        <f>F103</f>
        <v>65475</v>
      </c>
      <c r="H103" s="52"/>
      <c r="I103" s="49"/>
      <c r="J103" s="49"/>
      <c r="K103" s="49"/>
    </row>
    <row r="104" spans="1:11" ht="18.75" customHeight="1">
      <c r="A104" s="29">
        <v>33</v>
      </c>
      <c r="B104" s="33" t="s">
        <v>246</v>
      </c>
      <c r="C104" s="31">
        <v>12008</v>
      </c>
      <c r="D104" s="12" t="s">
        <v>33</v>
      </c>
      <c r="E104" s="12">
        <v>75</v>
      </c>
      <c r="F104" s="60">
        <f>75*873</f>
        <v>65475</v>
      </c>
      <c r="G104" s="52"/>
      <c r="H104" s="52"/>
      <c r="I104" s="49"/>
      <c r="J104" s="49"/>
      <c r="K104" s="49"/>
    </row>
    <row r="105" spans="1:11" ht="22.5" customHeight="1">
      <c r="A105" s="29"/>
      <c r="B105" s="33"/>
      <c r="C105" s="31"/>
      <c r="D105" s="12" t="s">
        <v>32</v>
      </c>
      <c r="E105" s="12" t="s">
        <v>52</v>
      </c>
      <c r="F105" s="60">
        <f>104650</f>
        <v>104650</v>
      </c>
      <c r="G105" s="49"/>
      <c r="H105" s="49"/>
      <c r="I105" s="49"/>
      <c r="J105" s="49"/>
      <c r="K105" s="49"/>
    </row>
    <row r="106" spans="1:11" ht="21.75" customHeight="1">
      <c r="A106" s="29"/>
      <c r="B106" s="33"/>
      <c r="C106" s="31"/>
      <c r="D106" s="12" t="s">
        <v>113</v>
      </c>
      <c r="E106" s="12"/>
      <c r="F106" s="59">
        <f>SUM(F104:F105)</f>
        <v>170125</v>
      </c>
      <c r="G106" s="49">
        <f>F106</f>
        <v>170125</v>
      </c>
      <c r="H106" s="49"/>
      <c r="I106" s="49"/>
      <c r="J106" s="49"/>
      <c r="K106" s="49"/>
    </row>
    <row r="107" spans="1:11" ht="22.5" customHeight="1">
      <c r="A107" s="15">
        <v>34</v>
      </c>
      <c r="B107" s="12" t="s">
        <v>181</v>
      </c>
      <c r="C107" s="21">
        <v>6283</v>
      </c>
      <c r="D107" s="12" t="s">
        <v>33</v>
      </c>
      <c r="E107" s="17">
        <v>75</v>
      </c>
      <c r="F107" s="50">
        <f>75*873</f>
        <v>65475</v>
      </c>
      <c r="G107" s="49"/>
      <c r="H107" s="49"/>
      <c r="I107" s="49">
        <f>F107</f>
        <v>65475</v>
      </c>
      <c r="J107" s="49"/>
      <c r="K107" s="49"/>
    </row>
    <row r="108" spans="1:11" ht="23.25" customHeight="1">
      <c r="A108" s="15">
        <v>35</v>
      </c>
      <c r="B108" s="12" t="s">
        <v>182</v>
      </c>
      <c r="C108" s="21">
        <v>4005</v>
      </c>
      <c r="D108" s="12" t="s">
        <v>33</v>
      </c>
      <c r="E108" s="17">
        <v>75</v>
      </c>
      <c r="F108" s="50">
        <f>75*873</f>
        <v>65475</v>
      </c>
      <c r="G108" s="49">
        <f>F108</f>
        <v>65475</v>
      </c>
      <c r="H108" s="49"/>
      <c r="I108" s="49"/>
      <c r="J108" s="49"/>
      <c r="K108" s="49"/>
    </row>
    <row r="109" spans="1:11" ht="24" customHeight="1">
      <c r="A109" s="29">
        <v>36</v>
      </c>
      <c r="B109" s="30" t="s">
        <v>183</v>
      </c>
      <c r="C109" s="31">
        <v>3784.5</v>
      </c>
      <c r="D109" s="12" t="s">
        <v>26</v>
      </c>
      <c r="E109" s="17">
        <v>345</v>
      </c>
      <c r="F109" s="49">
        <f>345*500.96</f>
        <v>172831.19999999998</v>
      </c>
      <c r="G109" s="49"/>
      <c r="H109" s="49"/>
      <c r="I109" s="49"/>
      <c r="J109" s="49"/>
      <c r="K109" s="49"/>
    </row>
    <row r="110" spans="1:11" ht="21.75" customHeight="1">
      <c r="A110" s="29"/>
      <c r="B110" s="30"/>
      <c r="C110" s="31"/>
      <c r="D110" s="12" t="s">
        <v>47</v>
      </c>
      <c r="E110" s="17">
        <v>88</v>
      </c>
      <c r="F110" s="49">
        <f>88*1100</f>
        <v>96800</v>
      </c>
      <c r="G110" s="49"/>
      <c r="H110" s="49"/>
      <c r="I110" s="49"/>
      <c r="J110" s="49"/>
      <c r="K110" s="49"/>
    </row>
    <row r="111" spans="1:11" ht="114" customHeight="1">
      <c r="A111" s="29"/>
      <c r="B111" s="30"/>
      <c r="C111" s="31"/>
      <c r="D111" s="12" t="s">
        <v>32</v>
      </c>
      <c r="E111" s="4" t="s">
        <v>54</v>
      </c>
      <c r="F111" s="49">
        <f>4*1854+4300+11000+172500+215625+143750+35000+28750+11992</f>
        <v>630333</v>
      </c>
      <c r="G111" s="49"/>
      <c r="H111" s="49"/>
      <c r="I111" s="49"/>
      <c r="J111" s="49"/>
      <c r="K111" s="49"/>
    </row>
    <row r="112" spans="1:11" ht="21.75" customHeight="1">
      <c r="A112" s="29"/>
      <c r="B112" s="30"/>
      <c r="C112" s="31"/>
      <c r="D112" s="12" t="s">
        <v>33</v>
      </c>
      <c r="E112" s="17">
        <v>80</v>
      </c>
      <c r="F112" s="49">
        <f>80*873</f>
        <v>69840</v>
      </c>
      <c r="G112" s="49"/>
      <c r="H112" s="49"/>
      <c r="I112" s="49"/>
      <c r="J112" s="49"/>
      <c r="K112" s="49"/>
    </row>
    <row r="113" spans="1:11" ht="21" customHeight="1">
      <c r="A113" s="29"/>
      <c r="B113" s="30"/>
      <c r="C113" s="31"/>
      <c r="D113" s="17" t="s">
        <v>53</v>
      </c>
      <c r="E113" s="4">
        <v>72</v>
      </c>
      <c r="F113" s="57">
        <f>72*1761.64</f>
        <v>126838.08</v>
      </c>
      <c r="G113" s="52"/>
      <c r="H113" s="52"/>
      <c r="I113" s="49"/>
      <c r="J113" s="49"/>
      <c r="K113" s="49"/>
    </row>
    <row r="114" spans="1:11" ht="21.75" customHeight="1">
      <c r="A114" s="29"/>
      <c r="B114" s="30"/>
      <c r="C114" s="31"/>
      <c r="D114" s="17" t="s">
        <v>113</v>
      </c>
      <c r="E114" s="4"/>
      <c r="F114" s="58">
        <f>SUM(F109:F113)</f>
        <v>1096642.28</v>
      </c>
      <c r="G114" s="52">
        <f>F111</f>
        <v>630333</v>
      </c>
      <c r="H114" s="52">
        <f>F113+F112</f>
        <v>196678.08000000002</v>
      </c>
      <c r="I114" s="49">
        <f>F110+F109</f>
        <v>269631.19999999995</v>
      </c>
      <c r="J114" s="49"/>
      <c r="K114" s="49"/>
    </row>
    <row r="115" spans="1:11" ht="27.75" customHeight="1">
      <c r="A115" s="15">
        <v>37</v>
      </c>
      <c r="B115" s="3" t="s">
        <v>184</v>
      </c>
      <c r="C115" s="22">
        <v>10978.7</v>
      </c>
      <c r="D115" s="17" t="s">
        <v>32</v>
      </c>
      <c r="E115" s="4" t="s">
        <v>55</v>
      </c>
      <c r="F115" s="58">
        <f>8*7078</f>
        <v>56624</v>
      </c>
      <c r="G115" s="52"/>
      <c r="H115" s="52">
        <f>F115</f>
        <v>56624</v>
      </c>
      <c r="I115" s="49"/>
      <c r="J115" s="49"/>
      <c r="K115" s="49"/>
    </row>
    <row r="116" spans="1:11" ht="27.75" customHeight="1">
      <c r="A116" s="15">
        <v>38</v>
      </c>
      <c r="B116" s="3" t="s">
        <v>185</v>
      </c>
      <c r="C116" s="22">
        <v>5124.8</v>
      </c>
      <c r="D116" s="4" t="s">
        <v>32</v>
      </c>
      <c r="E116" s="4" t="s">
        <v>35</v>
      </c>
      <c r="F116" s="58">
        <f>4*7078</f>
        <v>28312</v>
      </c>
      <c r="G116" s="52"/>
      <c r="H116" s="52">
        <f>F116</f>
        <v>28312</v>
      </c>
      <c r="I116" s="49"/>
      <c r="J116" s="49"/>
      <c r="K116" s="49"/>
    </row>
    <row r="117" spans="1:11" ht="29.25" customHeight="1">
      <c r="A117" s="15">
        <v>39</v>
      </c>
      <c r="B117" s="12" t="s">
        <v>126</v>
      </c>
      <c r="C117" s="21">
        <v>4687.4</v>
      </c>
      <c r="D117" s="18" t="s">
        <v>32</v>
      </c>
      <c r="E117" s="18" t="s">
        <v>12</v>
      </c>
      <c r="F117" s="58">
        <f>14300</f>
        <v>14300</v>
      </c>
      <c r="G117" s="49">
        <f>F117</f>
        <v>14300</v>
      </c>
      <c r="H117" s="49"/>
      <c r="I117" s="49"/>
      <c r="J117" s="49"/>
      <c r="K117" s="49"/>
    </row>
    <row r="118" spans="1:11" ht="27.75" customHeight="1">
      <c r="A118" s="29">
        <v>40</v>
      </c>
      <c r="B118" s="30" t="s">
        <v>127</v>
      </c>
      <c r="C118" s="31">
        <v>5680</v>
      </c>
      <c r="D118" s="18" t="s">
        <v>26</v>
      </c>
      <c r="E118" s="18">
        <v>400</v>
      </c>
      <c r="F118" s="57">
        <f>400*500.96</f>
        <v>200384</v>
      </c>
      <c r="G118" s="49"/>
      <c r="H118" s="49"/>
      <c r="I118" s="49"/>
      <c r="J118" s="49"/>
      <c r="K118" s="49"/>
    </row>
    <row r="119" spans="1:11" ht="21.75" customHeight="1">
      <c r="A119" s="29"/>
      <c r="B119" s="30"/>
      <c r="C119" s="31"/>
      <c r="D119" s="18" t="s">
        <v>161</v>
      </c>
      <c r="E119" s="18">
        <v>6</v>
      </c>
      <c r="F119" s="57">
        <f>6*12722</f>
        <v>76332</v>
      </c>
      <c r="G119" s="49"/>
      <c r="H119" s="49"/>
      <c r="I119" s="49"/>
      <c r="J119" s="49"/>
      <c r="K119" s="49"/>
    </row>
    <row r="120" spans="1:11" ht="21" customHeight="1">
      <c r="A120" s="29"/>
      <c r="B120" s="30"/>
      <c r="C120" s="31"/>
      <c r="D120" s="18" t="s">
        <v>33</v>
      </c>
      <c r="E120" s="18">
        <v>125</v>
      </c>
      <c r="F120" s="57">
        <f>125*873</f>
        <v>109125</v>
      </c>
      <c r="G120" s="49"/>
      <c r="H120" s="49"/>
      <c r="I120" s="49"/>
      <c r="J120" s="49"/>
      <c r="K120" s="49"/>
    </row>
    <row r="121" spans="1:11" ht="51.75" customHeight="1">
      <c r="A121" s="29"/>
      <c r="B121" s="30"/>
      <c r="C121" s="31"/>
      <c r="D121" s="17" t="s">
        <v>32</v>
      </c>
      <c r="E121" s="4" t="s">
        <v>56</v>
      </c>
      <c r="F121" s="57">
        <f>8*7078+95000+56250+11992+22375</f>
        <v>242241</v>
      </c>
      <c r="G121" s="52"/>
      <c r="H121" s="52"/>
      <c r="I121" s="49"/>
      <c r="J121" s="49"/>
      <c r="K121" s="49"/>
    </row>
    <row r="122" spans="1:11" ht="21.75" customHeight="1">
      <c r="A122" s="29"/>
      <c r="B122" s="30"/>
      <c r="C122" s="31"/>
      <c r="D122" s="17" t="s">
        <v>113</v>
      </c>
      <c r="E122" s="4"/>
      <c r="F122" s="58">
        <f>SUM(F118:F121)</f>
        <v>628082</v>
      </c>
      <c r="G122" s="52"/>
      <c r="H122" s="52"/>
      <c r="I122" s="49">
        <f>F122</f>
        <v>628082</v>
      </c>
      <c r="J122" s="49"/>
      <c r="K122" s="49"/>
    </row>
    <row r="123" spans="1:11" ht="21" customHeight="1">
      <c r="A123" s="29">
        <v>41</v>
      </c>
      <c r="B123" s="30" t="s">
        <v>128</v>
      </c>
      <c r="C123" s="31">
        <v>7033</v>
      </c>
      <c r="D123" s="17" t="s">
        <v>30</v>
      </c>
      <c r="E123" s="4">
        <f>58-12</f>
        <v>46</v>
      </c>
      <c r="F123" s="57">
        <f>46*1761.64</f>
        <v>81035.44</v>
      </c>
      <c r="G123" s="52"/>
      <c r="H123" s="52"/>
      <c r="I123" s="49"/>
      <c r="J123" s="49"/>
      <c r="K123" s="49"/>
    </row>
    <row r="124" spans="1:11" ht="18" customHeight="1">
      <c r="A124" s="29"/>
      <c r="B124" s="30"/>
      <c r="C124" s="31"/>
      <c r="D124" s="17" t="s">
        <v>26</v>
      </c>
      <c r="E124" s="4">
        <v>240</v>
      </c>
      <c r="F124" s="57">
        <f>240*500.96</f>
        <v>120230.4</v>
      </c>
      <c r="G124" s="52"/>
      <c r="H124" s="52"/>
      <c r="I124" s="49"/>
      <c r="J124" s="49"/>
      <c r="K124" s="49"/>
    </row>
    <row r="125" spans="1:11" ht="20.25" customHeight="1">
      <c r="A125" s="29"/>
      <c r="B125" s="30"/>
      <c r="C125" s="31"/>
      <c r="D125" s="17" t="s">
        <v>47</v>
      </c>
      <c r="E125" s="4">
        <v>46</v>
      </c>
      <c r="F125" s="57">
        <f>46*1100</f>
        <v>50600</v>
      </c>
      <c r="G125" s="52"/>
      <c r="H125" s="52"/>
      <c r="I125" s="49"/>
      <c r="J125" s="49"/>
      <c r="K125" s="49"/>
    </row>
    <row r="126" spans="1:11" ht="24" customHeight="1">
      <c r="A126" s="29"/>
      <c r="B126" s="30"/>
      <c r="C126" s="31"/>
      <c r="D126" s="17" t="s">
        <v>161</v>
      </c>
      <c r="E126" s="4">
        <v>4</v>
      </c>
      <c r="F126" s="57">
        <f>4*12722</f>
        <v>50888</v>
      </c>
      <c r="G126" s="52"/>
      <c r="H126" s="52"/>
      <c r="I126" s="49"/>
      <c r="J126" s="49"/>
      <c r="K126" s="49"/>
    </row>
    <row r="127" spans="1:11" ht="22.5" customHeight="1">
      <c r="A127" s="29"/>
      <c r="B127" s="30"/>
      <c r="C127" s="31"/>
      <c r="D127" s="17" t="s">
        <v>57</v>
      </c>
      <c r="E127" s="4">
        <v>58</v>
      </c>
      <c r="F127" s="57">
        <f>58*873</f>
        <v>50634</v>
      </c>
      <c r="G127" s="52"/>
      <c r="H127" s="52"/>
      <c r="I127" s="49"/>
      <c r="J127" s="49"/>
      <c r="K127" s="49"/>
    </row>
    <row r="128" spans="1:11" ht="20.25" customHeight="1">
      <c r="A128" s="29"/>
      <c r="B128" s="30"/>
      <c r="C128" s="31"/>
      <c r="D128" s="2" t="s">
        <v>32</v>
      </c>
      <c r="E128" s="2" t="s">
        <v>58</v>
      </c>
      <c r="F128" s="55">
        <f>5*7078</f>
        <v>35390</v>
      </c>
      <c r="G128" s="52"/>
      <c r="H128" s="52"/>
      <c r="I128" s="49"/>
      <c r="J128" s="49"/>
      <c r="K128" s="49"/>
    </row>
    <row r="129" spans="1:11" ht="20.25" customHeight="1">
      <c r="A129" s="29"/>
      <c r="B129" s="30"/>
      <c r="C129" s="31"/>
      <c r="D129" s="2" t="s">
        <v>113</v>
      </c>
      <c r="E129" s="2"/>
      <c r="F129" s="54">
        <f>SUM(F123:F128)</f>
        <v>388777.83999999997</v>
      </c>
      <c r="G129" s="52">
        <f>F129-F126</f>
        <v>337889.83999999997</v>
      </c>
      <c r="H129" s="52"/>
      <c r="I129" s="49">
        <f>F126</f>
        <v>50888</v>
      </c>
      <c r="J129" s="49"/>
      <c r="K129" s="49"/>
    </row>
    <row r="130" spans="1:11" ht="18" customHeight="1">
      <c r="A130" s="29">
        <v>42</v>
      </c>
      <c r="B130" s="30" t="s">
        <v>257</v>
      </c>
      <c r="C130" s="31">
        <v>6338.13</v>
      </c>
      <c r="D130" s="2" t="s">
        <v>47</v>
      </c>
      <c r="E130" s="2">
        <v>15</v>
      </c>
      <c r="F130" s="55">
        <f>15*1100</f>
        <v>16500</v>
      </c>
      <c r="G130" s="52"/>
      <c r="H130" s="52"/>
      <c r="I130" s="49"/>
      <c r="J130" s="49"/>
      <c r="K130" s="49"/>
    </row>
    <row r="131" spans="1:11" ht="23.25" customHeight="1">
      <c r="A131" s="29"/>
      <c r="B131" s="30"/>
      <c r="C131" s="31"/>
      <c r="D131" s="17" t="s">
        <v>32</v>
      </c>
      <c r="E131" s="2" t="s">
        <v>59</v>
      </c>
      <c r="F131" s="55">
        <f>3*7078+45000+5*5000</f>
        <v>91234</v>
      </c>
      <c r="G131" s="52"/>
      <c r="H131" s="52"/>
      <c r="I131" s="49"/>
      <c r="J131" s="49"/>
      <c r="K131" s="49"/>
    </row>
    <row r="132" spans="1:11" ht="20.25" customHeight="1">
      <c r="A132" s="29"/>
      <c r="B132" s="30"/>
      <c r="C132" s="31"/>
      <c r="D132" s="17" t="s">
        <v>113</v>
      </c>
      <c r="E132" s="2"/>
      <c r="F132" s="54">
        <f>SUM(F130:F131)</f>
        <v>107734</v>
      </c>
      <c r="G132" s="52"/>
      <c r="H132" s="52">
        <f>F132</f>
        <v>107734</v>
      </c>
      <c r="I132" s="49"/>
      <c r="J132" s="49"/>
      <c r="K132" s="49"/>
    </row>
    <row r="133" spans="1:11" ht="48" customHeight="1">
      <c r="A133" s="15">
        <v>43</v>
      </c>
      <c r="B133" s="3" t="s">
        <v>186</v>
      </c>
      <c r="C133" s="22">
        <v>5828.5</v>
      </c>
      <c r="D133" s="17" t="s">
        <v>32</v>
      </c>
      <c r="E133" s="2" t="s">
        <v>23</v>
      </c>
      <c r="F133" s="54">
        <f>10*7078+27187+56250*3+5*5000</f>
        <v>291717</v>
      </c>
      <c r="G133" s="52"/>
      <c r="H133" s="52">
        <f>F133</f>
        <v>291717</v>
      </c>
      <c r="I133" s="49"/>
      <c r="J133" s="49"/>
      <c r="K133" s="49"/>
    </row>
    <row r="134" spans="1:11" ht="21" customHeight="1">
      <c r="A134" s="29">
        <v>44</v>
      </c>
      <c r="B134" s="30" t="s">
        <v>129</v>
      </c>
      <c r="C134" s="32">
        <v>5140</v>
      </c>
      <c r="D134" s="17" t="s">
        <v>30</v>
      </c>
      <c r="E134" s="2">
        <v>69</v>
      </c>
      <c r="F134" s="55">
        <f>69*1761.64</f>
        <v>121553.16</v>
      </c>
      <c r="G134" s="52"/>
      <c r="H134" s="52"/>
      <c r="I134" s="49"/>
      <c r="J134" s="49"/>
      <c r="K134" s="49"/>
    </row>
    <row r="135" spans="1:11" ht="18.75" customHeight="1">
      <c r="A135" s="29"/>
      <c r="B135" s="30"/>
      <c r="C135" s="32"/>
      <c r="D135" s="17" t="s">
        <v>32</v>
      </c>
      <c r="E135" s="2" t="s">
        <v>35</v>
      </c>
      <c r="F135" s="55">
        <f>4*7078</f>
        <v>28312</v>
      </c>
      <c r="G135" s="52"/>
      <c r="H135" s="52"/>
      <c r="I135" s="49"/>
      <c r="J135" s="49"/>
      <c r="K135" s="49"/>
    </row>
    <row r="136" spans="1:11" ht="22.5" customHeight="1">
      <c r="A136" s="29"/>
      <c r="B136" s="30"/>
      <c r="C136" s="32"/>
      <c r="D136" s="17" t="s">
        <v>113</v>
      </c>
      <c r="E136" s="2"/>
      <c r="F136" s="54">
        <f>SUM(F134:F135)</f>
        <v>149865.16</v>
      </c>
      <c r="G136" s="52"/>
      <c r="H136" s="52">
        <f>F136</f>
        <v>149865.16</v>
      </c>
      <c r="I136" s="49"/>
      <c r="J136" s="49"/>
      <c r="K136" s="49"/>
    </row>
    <row r="137" spans="1:11" ht="21.75" customHeight="1">
      <c r="A137" s="29">
        <v>45</v>
      </c>
      <c r="B137" s="30" t="s">
        <v>130</v>
      </c>
      <c r="C137" s="32">
        <v>6609</v>
      </c>
      <c r="D137" s="17" t="s">
        <v>30</v>
      </c>
      <c r="E137" s="2">
        <v>46</v>
      </c>
      <c r="F137" s="55">
        <f>46*1761.64</f>
        <v>81035.44</v>
      </c>
      <c r="G137" s="52"/>
      <c r="H137" s="52"/>
      <c r="I137" s="49"/>
      <c r="J137" s="49"/>
      <c r="K137" s="49"/>
    </row>
    <row r="138" spans="1:11" ht="21.75" customHeight="1">
      <c r="A138" s="29"/>
      <c r="B138" s="30"/>
      <c r="C138" s="32"/>
      <c r="D138" s="17" t="s">
        <v>161</v>
      </c>
      <c r="E138" s="2">
        <v>4</v>
      </c>
      <c r="F138" s="55">
        <f>4*12722</f>
        <v>50888</v>
      </c>
      <c r="G138" s="52"/>
      <c r="H138" s="52"/>
      <c r="I138" s="49"/>
      <c r="J138" s="49"/>
      <c r="K138" s="49"/>
    </row>
    <row r="139" spans="1:11" ht="29.25" customHeight="1">
      <c r="A139" s="29"/>
      <c r="B139" s="30"/>
      <c r="C139" s="32"/>
      <c r="D139" s="17" t="s">
        <v>32</v>
      </c>
      <c r="E139" s="3" t="s">
        <v>60</v>
      </c>
      <c r="F139" s="61">
        <f>27178+269200+44500</f>
        <v>340878</v>
      </c>
      <c r="G139" s="52"/>
      <c r="H139" s="52"/>
      <c r="I139" s="49"/>
      <c r="J139" s="49"/>
      <c r="K139" s="49"/>
    </row>
    <row r="140" spans="1:11" ht="21" customHeight="1">
      <c r="A140" s="29"/>
      <c r="B140" s="30"/>
      <c r="C140" s="32"/>
      <c r="D140" s="17" t="s">
        <v>113</v>
      </c>
      <c r="E140" s="3"/>
      <c r="F140" s="56">
        <f>SUM(F137:F139)</f>
        <v>472801.44</v>
      </c>
      <c r="G140" s="52"/>
      <c r="H140" s="52"/>
      <c r="I140" s="49">
        <f>F140</f>
        <v>472801.44</v>
      </c>
      <c r="J140" s="49"/>
      <c r="K140" s="49"/>
    </row>
    <row r="141" spans="1:11" ht="24.75" customHeight="1">
      <c r="A141" s="15">
        <v>46</v>
      </c>
      <c r="B141" s="12" t="s">
        <v>187</v>
      </c>
      <c r="C141" s="21">
        <v>5725</v>
      </c>
      <c r="D141" s="12" t="s">
        <v>61</v>
      </c>
      <c r="E141" s="12">
        <v>15</v>
      </c>
      <c r="F141" s="59">
        <f>15*1100</f>
        <v>16500</v>
      </c>
      <c r="G141" s="49"/>
      <c r="H141" s="49">
        <f>F141</f>
        <v>16500</v>
      </c>
      <c r="I141" s="49"/>
      <c r="J141" s="49"/>
      <c r="K141" s="49"/>
    </row>
    <row r="142" spans="1:11" ht="24" customHeight="1">
      <c r="A142" s="15">
        <v>47</v>
      </c>
      <c r="B142" s="12" t="s">
        <v>188</v>
      </c>
      <c r="C142" s="21">
        <v>3918.9</v>
      </c>
      <c r="D142" s="12" t="s">
        <v>62</v>
      </c>
      <c r="E142" s="12">
        <v>22</v>
      </c>
      <c r="F142" s="59">
        <f>22*1761.64</f>
        <v>38756.08</v>
      </c>
      <c r="G142" s="49"/>
      <c r="H142" s="49"/>
      <c r="I142" s="49">
        <f>F142</f>
        <v>38756.08</v>
      </c>
      <c r="J142" s="49"/>
      <c r="K142" s="49"/>
    </row>
    <row r="143" spans="1:11" ht="21" customHeight="1">
      <c r="A143" s="29">
        <v>48</v>
      </c>
      <c r="B143" s="33" t="s">
        <v>189</v>
      </c>
      <c r="C143" s="31">
        <v>3312</v>
      </c>
      <c r="D143" s="12" t="s">
        <v>33</v>
      </c>
      <c r="E143" s="12">
        <v>61.9</v>
      </c>
      <c r="F143" s="60">
        <f>61.9*873</f>
        <v>54038.7</v>
      </c>
      <c r="G143" s="49"/>
      <c r="H143" s="49"/>
      <c r="I143" s="49"/>
      <c r="J143" s="49"/>
      <c r="K143" s="49"/>
    </row>
    <row r="144" spans="1:11" ht="21" customHeight="1">
      <c r="A144" s="29"/>
      <c r="B144" s="33"/>
      <c r="C144" s="31"/>
      <c r="D144" s="12" t="s">
        <v>161</v>
      </c>
      <c r="E144" s="12">
        <v>8</v>
      </c>
      <c r="F144" s="60">
        <f>8*12722</f>
        <v>101776</v>
      </c>
      <c r="G144" s="49"/>
      <c r="H144" s="49"/>
      <c r="I144" s="49"/>
      <c r="J144" s="49"/>
      <c r="K144" s="49"/>
    </row>
    <row r="145" spans="1:11" ht="64.5" customHeight="1">
      <c r="A145" s="29"/>
      <c r="B145" s="33"/>
      <c r="C145" s="31"/>
      <c r="D145" s="17" t="s">
        <v>32</v>
      </c>
      <c r="E145" s="20" t="s">
        <v>63</v>
      </c>
      <c r="F145" s="49">
        <f>27178*2+28750+11992+38038+3*56250</f>
        <v>301886</v>
      </c>
      <c r="G145" s="49"/>
      <c r="H145" s="49"/>
      <c r="I145" s="49"/>
      <c r="J145" s="49"/>
      <c r="K145" s="49"/>
    </row>
    <row r="146" spans="1:11" ht="20.25" customHeight="1">
      <c r="A146" s="29"/>
      <c r="B146" s="33"/>
      <c r="C146" s="31"/>
      <c r="D146" s="17" t="s">
        <v>113</v>
      </c>
      <c r="E146" s="20"/>
      <c r="F146" s="50">
        <f>SUM(F143:F145)</f>
        <v>457700.7</v>
      </c>
      <c r="G146" s="49"/>
      <c r="H146" s="49">
        <f>F146</f>
        <v>457700.7</v>
      </c>
      <c r="I146" s="49"/>
      <c r="J146" s="49"/>
      <c r="K146" s="49"/>
    </row>
    <row r="147" spans="1:11" ht="21.75" customHeight="1">
      <c r="A147" s="29">
        <v>49</v>
      </c>
      <c r="B147" s="30" t="s">
        <v>190</v>
      </c>
      <c r="C147" s="32">
        <f>405+1.5+1264.19</f>
        <v>1670.69</v>
      </c>
      <c r="D147" s="2" t="s">
        <v>26</v>
      </c>
      <c r="E147" s="3">
        <v>205</v>
      </c>
      <c r="F147" s="61">
        <f>205*500.96</f>
        <v>102696.8</v>
      </c>
      <c r="G147" s="52"/>
      <c r="H147" s="52"/>
      <c r="I147" s="49"/>
      <c r="J147" s="49"/>
      <c r="K147" s="49"/>
    </row>
    <row r="148" spans="1:11" ht="19.5" customHeight="1">
      <c r="A148" s="29"/>
      <c r="B148" s="30"/>
      <c r="C148" s="32"/>
      <c r="D148" s="2" t="s">
        <v>161</v>
      </c>
      <c r="E148" s="3">
        <v>3</v>
      </c>
      <c r="F148" s="61">
        <f>3*12722</f>
        <v>38166</v>
      </c>
      <c r="G148" s="52"/>
      <c r="H148" s="52"/>
      <c r="I148" s="49"/>
      <c r="J148" s="49"/>
      <c r="K148" s="49"/>
    </row>
    <row r="149" spans="1:11" ht="19.5" customHeight="1">
      <c r="A149" s="29"/>
      <c r="B149" s="30"/>
      <c r="C149" s="32"/>
      <c r="D149" s="17" t="s">
        <v>32</v>
      </c>
      <c r="E149" s="3" t="s">
        <v>64</v>
      </c>
      <c r="F149" s="61">
        <f>186225</f>
        <v>186225</v>
      </c>
      <c r="G149" s="52"/>
      <c r="H149" s="52"/>
      <c r="I149" s="49"/>
      <c r="J149" s="49"/>
      <c r="K149" s="49"/>
    </row>
    <row r="150" spans="1:11" ht="18.75" customHeight="1">
      <c r="A150" s="29"/>
      <c r="B150" s="30"/>
      <c r="C150" s="32"/>
      <c r="D150" s="17" t="s">
        <v>113</v>
      </c>
      <c r="E150" s="3"/>
      <c r="F150" s="56">
        <f>SUM(F147:F149)</f>
        <v>327087.8</v>
      </c>
      <c r="G150" s="52"/>
      <c r="H150" s="52"/>
      <c r="I150" s="49">
        <f>F150</f>
        <v>327087.8</v>
      </c>
      <c r="J150" s="49"/>
      <c r="K150" s="49"/>
    </row>
    <row r="151" spans="1:11" ht="20.25" customHeight="1">
      <c r="A151" s="29">
        <v>50</v>
      </c>
      <c r="B151" s="30" t="s">
        <v>258</v>
      </c>
      <c r="C151" s="32">
        <f>773.1+2345.6+214.6+60+1.5+3645.8</f>
        <v>7040.6</v>
      </c>
      <c r="D151" s="17" t="s">
        <v>66</v>
      </c>
      <c r="E151" s="3">
        <v>15</v>
      </c>
      <c r="F151" s="61">
        <f>15*500.96</f>
        <v>7514.4</v>
      </c>
      <c r="G151" s="52"/>
      <c r="H151" s="52"/>
      <c r="I151" s="49"/>
      <c r="J151" s="49"/>
      <c r="K151" s="49"/>
    </row>
    <row r="152" spans="1:11" ht="24" customHeight="1">
      <c r="A152" s="29"/>
      <c r="B152" s="30"/>
      <c r="C152" s="32"/>
      <c r="D152" s="17" t="s">
        <v>67</v>
      </c>
      <c r="E152" s="3">
        <v>15</v>
      </c>
      <c r="F152" s="61">
        <f>15*873</f>
        <v>13095</v>
      </c>
      <c r="G152" s="52"/>
      <c r="H152" s="52"/>
      <c r="I152" s="49"/>
      <c r="J152" s="49"/>
      <c r="K152" s="49"/>
    </row>
    <row r="153" spans="1:11" ht="22.5" customHeight="1">
      <c r="A153" s="29"/>
      <c r="B153" s="30"/>
      <c r="C153" s="32"/>
      <c r="D153" s="17" t="s">
        <v>32</v>
      </c>
      <c r="E153" s="3" t="s">
        <v>65</v>
      </c>
      <c r="F153" s="61">
        <f>27178</f>
        <v>27178</v>
      </c>
      <c r="G153" s="52"/>
      <c r="H153" s="52"/>
      <c r="I153" s="49"/>
      <c r="J153" s="49"/>
      <c r="K153" s="49"/>
    </row>
    <row r="154" spans="1:11" ht="21.75" customHeight="1">
      <c r="A154" s="29"/>
      <c r="B154" s="30"/>
      <c r="C154" s="32"/>
      <c r="D154" s="17" t="s">
        <v>113</v>
      </c>
      <c r="E154" s="3"/>
      <c r="F154" s="56">
        <f>SUM(F151:F153)</f>
        <v>47787.4</v>
      </c>
      <c r="G154" s="52">
        <f>F154</f>
        <v>47787.4</v>
      </c>
      <c r="H154" s="52"/>
      <c r="I154" s="49"/>
      <c r="J154" s="49"/>
      <c r="K154" s="49"/>
    </row>
    <row r="155" spans="1:11" ht="21" customHeight="1">
      <c r="A155" s="29">
        <v>51</v>
      </c>
      <c r="B155" s="30" t="s">
        <v>191</v>
      </c>
      <c r="C155" s="32">
        <f>257.9+1280.5+100+1.5+331.22</f>
        <v>1971.1200000000001</v>
      </c>
      <c r="D155" s="17" t="s">
        <v>30</v>
      </c>
      <c r="E155" s="4">
        <v>32</v>
      </c>
      <c r="F155" s="57">
        <f>32*1761.64</f>
        <v>56372.48</v>
      </c>
      <c r="G155" s="52"/>
      <c r="H155" s="52"/>
      <c r="I155" s="49"/>
      <c r="J155" s="49"/>
      <c r="K155" s="49"/>
    </row>
    <row r="156" spans="1:11" ht="33" customHeight="1">
      <c r="A156" s="29"/>
      <c r="B156" s="30"/>
      <c r="C156" s="32"/>
      <c r="D156" s="17" t="s">
        <v>32</v>
      </c>
      <c r="E156" s="4" t="s">
        <v>68</v>
      </c>
      <c r="F156" s="57">
        <f>2*1854+2*7078+22375+11992+44500</f>
        <v>96731</v>
      </c>
      <c r="G156" s="52"/>
      <c r="H156" s="52"/>
      <c r="I156" s="49"/>
      <c r="J156" s="49"/>
      <c r="K156" s="49"/>
    </row>
    <row r="157" spans="1:11" ht="21" customHeight="1">
      <c r="A157" s="29"/>
      <c r="B157" s="30"/>
      <c r="C157" s="32"/>
      <c r="D157" s="17" t="s">
        <v>113</v>
      </c>
      <c r="E157" s="4"/>
      <c r="F157" s="58">
        <f>SUM(F155:F156)</f>
        <v>153103.48</v>
      </c>
      <c r="G157" s="52">
        <f>F157</f>
        <v>153103.48</v>
      </c>
      <c r="H157" s="52"/>
      <c r="I157" s="49"/>
      <c r="J157" s="49"/>
      <c r="K157" s="49"/>
    </row>
    <row r="158" spans="1:11" ht="21" customHeight="1">
      <c r="A158" s="29">
        <v>52</v>
      </c>
      <c r="B158" s="30" t="s">
        <v>192</v>
      </c>
      <c r="C158" s="32">
        <f>436.6+316.6+15.4+739.6+1.5+2528.38</f>
        <v>4038.08</v>
      </c>
      <c r="D158" s="17" t="s">
        <v>30</v>
      </c>
      <c r="E158" s="4">
        <v>46</v>
      </c>
      <c r="F158" s="57">
        <f>46*1761.64</f>
        <v>81035.44</v>
      </c>
      <c r="G158" s="52"/>
      <c r="H158" s="52"/>
      <c r="I158" s="49"/>
      <c r="J158" s="49"/>
      <c r="K158" s="49"/>
    </row>
    <row r="159" spans="1:11" ht="23.25" customHeight="1">
      <c r="A159" s="29"/>
      <c r="B159" s="30"/>
      <c r="C159" s="32"/>
      <c r="D159" s="4" t="s">
        <v>32</v>
      </c>
      <c r="E159" s="4" t="s">
        <v>69</v>
      </c>
      <c r="F159" s="57">
        <f>4*7078+104650</f>
        <v>132962</v>
      </c>
      <c r="G159" s="52"/>
      <c r="H159" s="52"/>
      <c r="I159" s="49"/>
      <c r="J159" s="49"/>
      <c r="K159" s="49"/>
    </row>
    <row r="160" spans="1:11" ht="20.25" customHeight="1">
      <c r="A160" s="29"/>
      <c r="B160" s="30"/>
      <c r="C160" s="32"/>
      <c r="D160" s="4" t="s">
        <v>113</v>
      </c>
      <c r="E160" s="4"/>
      <c r="F160" s="58">
        <f>SUM(F158:F159)</f>
        <v>213997.44</v>
      </c>
      <c r="G160" s="52">
        <f>F160</f>
        <v>213997.44</v>
      </c>
      <c r="H160" s="52"/>
      <c r="I160" s="49"/>
      <c r="J160" s="49"/>
      <c r="K160" s="49"/>
    </row>
    <row r="161" spans="1:11" ht="51" customHeight="1">
      <c r="A161" s="15">
        <v>53</v>
      </c>
      <c r="B161" s="3" t="s">
        <v>193</v>
      </c>
      <c r="C161" s="22">
        <v>3101.3</v>
      </c>
      <c r="D161" s="3" t="s">
        <v>32</v>
      </c>
      <c r="E161" s="3" t="s">
        <v>15</v>
      </c>
      <c r="F161" s="56">
        <f>6*5000+9*7078+27178+71500+28750+35000+11992</f>
        <v>268122</v>
      </c>
      <c r="G161" s="52"/>
      <c r="H161" s="52">
        <f>F161</f>
        <v>268122</v>
      </c>
      <c r="I161" s="49"/>
      <c r="J161" s="49"/>
      <c r="K161" s="49"/>
    </row>
    <row r="162" spans="1:11" ht="22.5" customHeight="1">
      <c r="A162" s="29">
        <v>54</v>
      </c>
      <c r="B162" s="33" t="s">
        <v>131</v>
      </c>
      <c r="C162" s="32">
        <f>368+20+1.5+3375</f>
        <v>3764.5</v>
      </c>
      <c r="D162" s="3" t="s">
        <v>26</v>
      </c>
      <c r="E162" s="3">
        <v>220</v>
      </c>
      <c r="F162" s="61">
        <f>220*500.96</f>
        <v>110211.2</v>
      </c>
      <c r="G162" s="52"/>
      <c r="H162" s="52"/>
      <c r="I162" s="49"/>
      <c r="J162" s="49"/>
      <c r="K162" s="49"/>
    </row>
    <row r="163" spans="1:11" ht="24" customHeight="1">
      <c r="A163" s="29"/>
      <c r="B163" s="33"/>
      <c r="C163" s="32"/>
      <c r="D163" s="18" t="s">
        <v>32</v>
      </c>
      <c r="E163" s="18" t="s">
        <v>70</v>
      </c>
      <c r="F163" s="49">
        <f>22375</f>
        <v>22375</v>
      </c>
      <c r="G163" s="49"/>
      <c r="H163" s="49"/>
      <c r="I163" s="49"/>
      <c r="J163" s="49"/>
      <c r="K163" s="49"/>
    </row>
    <row r="164" spans="1:11" ht="21" customHeight="1">
      <c r="A164" s="29"/>
      <c r="B164" s="33"/>
      <c r="C164" s="32"/>
      <c r="D164" s="18" t="s">
        <v>113</v>
      </c>
      <c r="E164" s="18"/>
      <c r="F164" s="50">
        <f>SUM(F162:F163)</f>
        <v>132586.2</v>
      </c>
      <c r="G164" s="49"/>
      <c r="H164" s="49">
        <f>F164</f>
        <v>132586.2</v>
      </c>
      <c r="I164" s="49"/>
      <c r="J164" s="49"/>
      <c r="K164" s="49"/>
    </row>
    <row r="165" spans="1:11" ht="21" customHeight="1">
      <c r="A165" s="29">
        <v>55</v>
      </c>
      <c r="B165" s="33" t="s">
        <v>194</v>
      </c>
      <c r="C165" s="31">
        <f>681+450+1412</f>
        <v>2543</v>
      </c>
      <c r="D165" s="18" t="s">
        <v>161</v>
      </c>
      <c r="E165" s="18">
        <v>3</v>
      </c>
      <c r="F165" s="49">
        <f>3*12722</f>
        <v>38166</v>
      </c>
      <c r="G165" s="49"/>
      <c r="H165" s="49"/>
      <c r="I165" s="49"/>
      <c r="J165" s="49"/>
      <c r="K165" s="49"/>
    </row>
    <row r="166" spans="1:11" ht="19.5" customHeight="1">
      <c r="A166" s="29"/>
      <c r="B166" s="33"/>
      <c r="C166" s="31"/>
      <c r="D166" s="18" t="s">
        <v>1</v>
      </c>
      <c r="E166" s="18">
        <v>200</v>
      </c>
      <c r="F166" s="49">
        <f>200*500.96</f>
        <v>100192</v>
      </c>
      <c r="G166" s="49"/>
      <c r="H166" s="49"/>
      <c r="I166" s="49"/>
      <c r="J166" s="49"/>
      <c r="K166" s="49"/>
    </row>
    <row r="167" spans="1:11" ht="24" customHeight="1">
      <c r="A167" s="29"/>
      <c r="B167" s="33"/>
      <c r="C167" s="31"/>
      <c r="D167" s="18" t="s">
        <v>113</v>
      </c>
      <c r="E167" s="18"/>
      <c r="F167" s="50">
        <f>SUM(F165:F166)</f>
        <v>138358</v>
      </c>
      <c r="G167" s="49"/>
      <c r="H167" s="49">
        <f>F166</f>
        <v>100192</v>
      </c>
      <c r="I167" s="49">
        <f>F165</f>
        <v>38166</v>
      </c>
      <c r="J167" s="49"/>
      <c r="K167" s="49"/>
    </row>
    <row r="168" spans="1:11" ht="23.25" customHeight="1">
      <c r="A168" s="29">
        <v>56</v>
      </c>
      <c r="B168" s="30" t="s">
        <v>195</v>
      </c>
      <c r="C168" s="31">
        <f>607.4+157.8+60+1.5+5626.1</f>
        <v>6452.8</v>
      </c>
      <c r="D168" s="18" t="s">
        <v>36</v>
      </c>
      <c r="E168" s="18">
        <v>5</v>
      </c>
      <c r="F168" s="49">
        <f>5*1275.75</f>
        <v>6378.75</v>
      </c>
      <c r="G168" s="49"/>
      <c r="H168" s="49"/>
      <c r="I168" s="49"/>
      <c r="J168" s="49"/>
      <c r="K168" s="49"/>
    </row>
    <row r="169" spans="1:11" ht="47.25" customHeight="1">
      <c r="A169" s="29"/>
      <c r="B169" s="30"/>
      <c r="C169" s="31"/>
      <c r="D169" s="17" t="s">
        <v>32</v>
      </c>
      <c r="E169" s="2" t="s">
        <v>71</v>
      </c>
      <c r="F169" s="55">
        <f>2*7078+28750</f>
        <v>42906</v>
      </c>
      <c r="G169" s="52"/>
      <c r="H169" s="52"/>
      <c r="I169" s="49"/>
      <c r="J169" s="49"/>
      <c r="K169" s="49"/>
    </row>
    <row r="170" spans="1:11" ht="21.75" customHeight="1">
      <c r="A170" s="29"/>
      <c r="B170" s="30"/>
      <c r="C170" s="31"/>
      <c r="D170" s="17" t="s">
        <v>113</v>
      </c>
      <c r="E170" s="2"/>
      <c r="F170" s="54">
        <f>SUM(F168:F169)</f>
        <v>49284.75</v>
      </c>
      <c r="G170" s="52">
        <f>F170</f>
        <v>49284.75</v>
      </c>
      <c r="H170" s="52"/>
      <c r="I170" s="49"/>
      <c r="J170" s="49"/>
      <c r="K170" s="49"/>
    </row>
    <row r="171" spans="1:11" ht="29.25" customHeight="1">
      <c r="A171" s="15">
        <v>57</v>
      </c>
      <c r="B171" s="3" t="s">
        <v>196</v>
      </c>
      <c r="C171" s="22">
        <v>6700</v>
      </c>
      <c r="D171" s="17" t="s">
        <v>32</v>
      </c>
      <c r="E171" s="2" t="s">
        <v>9</v>
      </c>
      <c r="F171" s="54">
        <f>2*7078+164175+30000</f>
        <v>208331</v>
      </c>
      <c r="G171" s="52"/>
      <c r="H171" s="52">
        <f>F171</f>
        <v>208331</v>
      </c>
      <c r="I171" s="49"/>
      <c r="J171" s="49"/>
      <c r="K171" s="49"/>
    </row>
    <row r="172" spans="1:11" ht="80.25" customHeight="1">
      <c r="A172" s="15">
        <v>58</v>
      </c>
      <c r="B172" s="3" t="s">
        <v>197</v>
      </c>
      <c r="C172" s="22">
        <v>6069</v>
      </c>
      <c r="D172" s="17" t="s">
        <v>32</v>
      </c>
      <c r="E172" s="3" t="s">
        <v>132</v>
      </c>
      <c r="F172" s="56">
        <f>2*20000+2*20000+2*7078+22375+11922+56250</f>
        <v>184703</v>
      </c>
      <c r="G172" s="52">
        <f>F172</f>
        <v>184703</v>
      </c>
      <c r="H172" s="52"/>
      <c r="I172" s="49"/>
      <c r="J172" s="49"/>
      <c r="K172" s="49"/>
    </row>
    <row r="173" spans="1:11" ht="23.25" customHeight="1">
      <c r="A173" s="29">
        <v>59</v>
      </c>
      <c r="B173" s="41" t="s">
        <v>198</v>
      </c>
      <c r="C173" s="32">
        <f>633.8+92+132+1.5+5075</f>
        <v>5934.3</v>
      </c>
      <c r="D173" s="17" t="s">
        <v>36</v>
      </c>
      <c r="E173" s="3">
        <v>85</v>
      </c>
      <c r="F173" s="61">
        <f>85*1275.75</f>
        <v>108438.75</v>
      </c>
      <c r="G173" s="52"/>
      <c r="H173" s="52"/>
      <c r="I173" s="49"/>
      <c r="J173" s="49"/>
      <c r="K173" s="49"/>
    </row>
    <row r="174" spans="1:11" ht="35.25" customHeight="1">
      <c r="A174" s="29"/>
      <c r="B174" s="42"/>
      <c r="C174" s="32"/>
      <c r="D174" s="17" t="s">
        <v>32</v>
      </c>
      <c r="E174" s="20" t="s">
        <v>72</v>
      </c>
      <c r="F174" s="52">
        <f>28750+104650+4*5000</f>
        <v>153400</v>
      </c>
      <c r="G174" s="49"/>
      <c r="H174" s="49"/>
      <c r="I174" s="49"/>
      <c r="J174" s="49"/>
      <c r="K174" s="49"/>
    </row>
    <row r="175" spans="1:11" ht="24" customHeight="1">
      <c r="A175" s="29"/>
      <c r="B175" s="43"/>
      <c r="C175" s="32"/>
      <c r="D175" s="17" t="s">
        <v>113</v>
      </c>
      <c r="E175" s="20"/>
      <c r="F175" s="63">
        <f>SUM(F173:F174)</f>
        <v>261838.75</v>
      </c>
      <c r="G175" s="49"/>
      <c r="H175" s="49">
        <f>F175</f>
        <v>261838.75</v>
      </c>
      <c r="I175" s="49"/>
      <c r="J175" s="49"/>
      <c r="K175" s="49"/>
    </row>
    <row r="176" spans="1:11" ht="19.5" customHeight="1">
      <c r="A176" s="29">
        <v>60</v>
      </c>
      <c r="B176" s="33" t="s">
        <v>199</v>
      </c>
      <c r="C176" s="32">
        <f>308.5+399.5+20+1.5+6527</f>
        <v>7256.5</v>
      </c>
      <c r="D176" s="17" t="s">
        <v>30</v>
      </c>
      <c r="E176" s="20">
        <v>46</v>
      </c>
      <c r="F176" s="52">
        <f>46*1761.64</f>
        <v>81035.44</v>
      </c>
      <c r="G176" s="49"/>
      <c r="H176" s="49"/>
      <c r="I176" s="49"/>
      <c r="J176" s="49"/>
      <c r="K176" s="49"/>
    </row>
    <row r="177" spans="1:11" ht="31.5" customHeight="1">
      <c r="A177" s="29"/>
      <c r="B177" s="33"/>
      <c r="C177" s="32"/>
      <c r="D177" s="17" t="s">
        <v>32</v>
      </c>
      <c r="E177" s="20" t="s">
        <v>133</v>
      </c>
      <c r="F177" s="52">
        <f>44500</f>
        <v>44500</v>
      </c>
      <c r="G177" s="49"/>
      <c r="H177" s="49"/>
      <c r="I177" s="49"/>
      <c r="J177" s="49"/>
      <c r="K177" s="49"/>
    </row>
    <row r="178" spans="1:11" ht="21.75" customHeight="1">
      <c r="A178" s="29"/>
      <c r="B178" s="33"/>
      <c r="C178" s="32"/>
      <c r="D178" s="17" t="s">
        <v>113</v>
      </c>
      <c r="E178" s="20"/>
      <c r="F178" s="63">
        <f>SUM(F176:F177)</f>
        <v>125535.44</v>
      </c>
      <c r="G178" s="49"/>
      <c r="H178" s="49">
        <f>F178</f>
        <v>125535.44</v>
      </c>
      <c r="I178" s="49"/>
      <c r="J178" s="49"/>
      <c r="K178" s="49"/>
    </row>
    <row r="179" spans="1:11" ht="31.5" customHeight="1">
      <c r="A179" s="15">
        <v>61</v>
      </c>
      <c r="B179" s="12" t="s">
        <v>200</v>
      </c>
      <c r="C179" s="21">
        <v>7888.7</v>
      </c>
      <c r="D179" s="17" t="s">
        <v>32</v>
      </c>
      <c r="E179" s="20" t="s">
        <v>147</v>
      </c>
      <c r="F179" s="63">
        <f>5000+104650</f>
        <v>109650</v>
      </c>
      <c r="G179" s="49"/>
      <c r="H179" s="49">
        <f>F179</f>
        <v>109650</v>
      </c>
      <c r="I179" s="49"/>
      <c r="J179" s="49"/>
      <c r="K179" s="49"/>
    </row>
    <row r="180" spans="1:11" ht="23.25" customHeight="1">
      <c r="A180" s="29">
        <v>62</v>
      </c>
      <c r="B180" s="33" t="s">
        <v>201</v>
      </c>
      <c r="C180" s="31">
        <v>11183</v>
      </c>
      <c r="D180" s="17" t="s">
        <v>30</v>
      </c>
      <c r="E180" s="20">
        <v>92</v>
      </c>
      <c r="F180" s="52">
        <f>92*1761.64</f>
        <v>162070.88</v>
      </c>
      <c r="G180" s="49"/>
      <c r="H180" s="49"/>
      <c r="I180" s="49"/>
      <c r="J180" s="49"/>
      <c r="K180" s="49"/>
    </row>
    <row r="181" spans="1:11" ht="22.5" customHeight="1">
      <c r="A181" s="29"/>
      <c r="B181" s="33"/>
      <c r="C181" s="31"/>
      <c r="D181" s="17" t="s">
        <v>32</v>
      </c>
      <c r="E181" s="20" t="s">
        <v>73</v>
      </c>
      <c r="F181" s="52">
        <f>8*5000</f>
        <v>40000</v>
      </c>
      <c r="G181" s="49"/>
      <c r="H181" s="49"/>
      <c r="I181" s="49"/>
      <c r="J181" s="49"/>
      <c r="K181" s="49"/>
    </row>
    <row r="182" spans="1:11" ht="21" customHeight="1">
      <c r="A182" s="29"/>
      <c r="B182" s="33"/>
      <c r="C182" s="31"/>
      <c r="D182" s="17" t="s">
        <v>113</v>
      </c>
      <c r="E182" s="20"/>
      <c r="F182" s="63">
        <f>SUM(F180:F181)</f>
        <v>202070.88</v>
      </c>
      <c r="G182" s="49"/>
      <c r="H182" s="49">
        <f>F182</f>
        <v>202070.88</v>
      </c>
      <c r="I182" s="49"/>
      <c r="J182" s="49"/>
      <c r="K182" s="49"/>
    </row>
    <row r="183" spans="1:11" ht="24" customHeight="1">
      <c r="A183" s="15">
        <v>63</v>
      </c>
      <c r="B183" s="12" t="s">
        <v>134</v>
      </c>
      <c r="C183" s="21">
        <v>4003</v>
      </c>
      <c r="D183" s="17" t="s">
        <v>33</v>
      </c>
      <c r="E183" s="20" t="s">
        <v>10</v>
      </c>
      <c r="F183" s="63">
        <f>5*1200</f>
        <v>6000</v>
      </c>
      <c r="G183" s="49">
        <f>F183</f>
        <v>6000</v>
      </c>
      <c r="H183" s="49"/>
      <c r="I183" s="49"/>
      <c r="J183" s="49"/>
      <c r="K183" s="49"/>
    </row>
    <row r="184" spans="1:11" ht="21" customHeight="1">
      <c r="A184" s="29">
        <v>64</v>
      </c>
      <c r="B184" s="33" t="s">
        <v>202</v>
      </c>
      <c r="C184" s="31">
        <v>7710</v>
      </c>
      <c r="D184" s="17" t="s">
        <v>33</v>
      </c>
      <c r="E184" s="20">
        <v>50</v>
      </c>
      <c r="F184" s="52">
        <f>50*873</f>
        <v>43650</v>
      </c>
      <c r="G184" s="49"/>
      <c r="H184" s="49"/>
      <c r="I184" s="49"/>
      <c r="J184" s="49"/>
      <c r="K184" s="49"/>
    </row>
    <row r="185" spans="1:11" ht="20.25" customHeight="1">
      <c r="A185" s="29"/>
      <c r="B185" s="33"/>
      <c r="C185" s="31"/>
      <c r="D185" s="17" t="s">
        <v>32</v>
      </c>
      <c r="E185" s="20" t="s">
        <v>74</v>
      </c>
      <c r="F185" s="52">
        <f>50*873+27178</f>
        <v>70828</v>
      </c>
      <c r="G185" s="49"/>
      <c r="H185" s="49"/>
      <c r="I185" s="49"/>
      <c r="J185" s="49"/>
      <c r="K185" s="49"/>
    </row>
    <row r="186" spans="1:11" ht="21.75" customHeight="1">
      <c r="A186" s="29"/>
      <c r="B186" s="33"/>
      <c r="C186" s="31"/>
      <c r="D186" s="17" t="s">
        <v>113</v>
      </c>
      <c r="E186" s="20"/>
      <c r="F186" s="63">
        <f>SUM(F184:F185)</f>
        <v>114478</v>
      </c>
      <c r="G186" s="49"/>
      <c r="H186" s="49">
        <f>F186</f>
        <v>114478</v>
      </c>
      <c r="I186" s="49"/>
      <c r="J186" s="49"/>
      <c r="K186" s="49"/>
    </row>
    <row r="187" spans="1:11" ht="20.25" customHeight="1">
      <c r="A187" s="29">
        <v>65</v>
      </c>
      <c r="B187" s="30" t="s">
        <v>259</v>
      </c>
      <c r="C187" s="31">
        <v>6211</v>
      </c>
      <c r="D187" s="17" t="s">
        <v>26</v>
      </c>
      <c r="E187" s="20">
        <v>50</v>
      </c>
      <c r="F187" s="52">
        <f>50*500.96</f>
        <v>25048</v>
      </c>
      <c r="G187" s="49"/>
      <c r="H187" s="49"/>
      <c r="I187" s="49"/>
      <c r="J187" s="49"/>
      <c r="K187" s="49"/>
    </row>
    <row r="188" spans="1:11" ht="23.25" customHeight="1">
      <c r="A188" s="29"/>
      <c r="B188" s="30"/>
      <c r="C188" s="31"/>
      <c r="D188" s="17" t="s">
        <v>285</v>
      </c>
      <c r="E188" s="20">
        <f>52*1.5</f>
        <v>78</v>
      </c>
      <c r="F188" s="52">
        <f>78*1761.64</f>
        <v>137407.92</v>
      </c>
      <c r="G188" s="49"/>
      <c r="H188" s="49"/>
      <c r="I188" s="49"/>
      <c r="J188" s="49"/>
      <c r="K188" s="49"/>
    </row>
    <row r="189" spans="1:11" ht="63.75" customHeight="1">
      <c r="A189" s="29"/>
      <c r="B189" s="30"/>
      <c r="C189" s="31"/>
      <c r="D189" s="17" t="s">
        <v>32</v>
      </c>
      <c r="E189" s="4" t="s">
        <v>76</v>
      </c>
      <c r="F189" s="57">
        <f>269200+46956+3*59646+38038+27178+17400+14300+11992</f>
        <v>604002</v>
      </c>
      <c r="G189" s="52"/>
      <c r="H189" s="52"/>
      <c r="I189" s="49"/>
      <c r="J189" s="49"/>
      <c r="K189" s="49"/>
    </row>
    <row r="190" spans="1:11" ht="24" customHeight="1">
      <c r="A190" s="29"/>
      <c r="B190" s="30"/>
      <c r="C190" s="31"/>
      <c r="D190" s="17" t="s">
        <v>113</v>
      </c>
      <c r="E190" s="4"/>
      <c r="F190" s="58">
        <f>SUM(F187:F189)</f>
        <v>766457.92</v>
      </c>
      <c r="G190" s="52"/>
      <c r="H190" s="52">
        <f>F188</f>
        <v>137407.92</v>
      </c>
      <c r="I190" s="49">
        <f>F187</f>
        <v>25048</v>
      </c>
      <c r="J190" s="49">
        <f>F189</f>
        <v>604002</v>
      </c>
      <c r="K190" s="49"/>
    </row>
    <row r="191" spans="1:11" ht="23.25" customHeight="1">
      <c r="A191" s="29">
        <v>66</v>
      </c>
      <c r="B191" s="30" t="s">
        <v>203</v>
      </c>
      <c r="C191" s="31">
        <v>6675</v>
      </c>
      <c r="D191" s="17" t="s">
        <v>26</v>
      </c>
      <c r="E191" s="4">
        <v>65</v>
      </c>
      <c r="F191" s="57">
        <f>65*500.96</f>
        <v>32562.399999999998</v>
      </c>
      <c r="G191" s="52"/>
      <c r="H191" s="52"/>
      <c r="I191" s="49"/>
      <c r="J191" s="49"/>
      <c r="K191" s="49"/>
    </row>
    <row r="192" spans="1:11" ht="33" customHeight="1">
      <c r="A192" s="29"/>
      <c r="B192" s="30"/>
      <c r="C192" s="31"/>
      <c r="D192" s="17" t="s">
        <v>32</v>
      </c>
      <c r="E192" s="4" t="s">
        <v>77</v>
      </c>
      <c r="F192" s="57">
        <f>40000+28750+40000+40000+3*7078</f>
        <v>169984</v>
      </c>
      <c r="G192" s="52"/>
      <c r="H192" s="52"/>
      <c r="I192" s="52"/>
      <c r="J192" s="49"/>
      <c r="K192" s="49"/>
    </row>
    <row r="193" spans="1:11" ht="27.75" customHeight="1">
      <c r="A193" s="29"/>
      <c r="B193" s="30"/>
      <c r="C193" s="31"/>
      <c r="D193" s="17" t="s">
        <v>113</v>
      </c>
      <c r="E193" s="4"/>
      <c r="F193" s="58">
        <f>SUM(F191:F192)</f>
        <v>202546.4</v>
      </c>
      <c r="G193" s="52"/>
      <c r="H193" s="52">
        <f>F192</f>
        <v>169984</v>
      </c>
      <c r="I193" s="52">
        <f>F191</f>
        <v>32562.399999999998</v>
      </c>
      <c r="J193" s="49"/>
      <c r="K193" s="49"/>
    </row>
    <row r="194" spans="1:11" ht="19.5" customHeight="1">
      <c r="A194" s="29">
        <v>67</v>
      </c>
      <c r="B194" s="30" t="s">
        <v>204</v>
      </c>
      <c r="C194" s="31">
        <v>2045</v>
      </c>
      <c r="D194" s="17" t="s">
        <v>33</v>
      </c>
      <c r="E194" s="4">
        <v>20</v>
      </c>
      <c r="F194" s="57">
        <f>20*873</f>
        <v>17460</v>
      </c>
      <c r="G194" s="52"/>
      <c r="H194" s="52"/>
      <c r="I194" s="52"/>
      <c r="J194" s="49"/>
      <c r="K194" s="49"/>
    </row>
    <row r="195" spans="1:11" ht="18.75" customHeight="1">
      <c r="A195" s="29"/>
      <c r="B195" s="30"/>
      <c r="C195" s="31"/>
      <c r="D195" s="17" t="s">
        <v>26</v>
      </c>
      <c r="E195" s="4">
        <v>50</v>
      </c>
      <c r="F195" s="57">
        <f>50*500.96</f>
        <v>25048</v>
      </c>
      <c r="G195" s="52"/>
      <c r="H195" s="52"/>
      <c r="I195" s="52"/>
      <c r="J195" s="49"/>
      <c r="K195" s="49"/>
    </row>
    <row r="196" spans="1:11" ht="20.25" customHeight="1">
      <c r="A196" s="29"/>
      <c r="B196" s="30"/>
      <c r="C196" s="31"/>
      <c r="D196" s="17" t="s">
        <v>32</v>
      </c>
      <c r="E196" s="4" t="s">
        <v>135</v>
      </c>
      <c r="F196" s="57">
        <f>7078+3*5000</f>
        <v>22078</v>
      </c>
      <c r="G196" s="52"/>
      <c r="H196" s="52"/>
      <c r="I196" s="61"/>
      <c r="J196" s="49"/>
      <c r="K196" s="49"/>
    </row>
    <row r="197" spans="1:11" ht="21.75" customHeight="1">
      <c r="A197" s="29"/>
      <c r="B197" s="30"/>
      <c r="C197" s="31"/>
      <c r="D197" s="17" t="s">
        <v>113</v>
      </c>
      <c r="E197" s="4"/>
      <c r="F197" s="58">
        <f>SUM(F194:F196)</f>
        <v>64586</v>
      </c>
      <c r="G197" s="52"/>
      <c r="H197" s="52">
        <f>F197</f>
        <v>64586</v>
      </c>
      <c r="I197" s="61"/>
      <c r="J197" s="49"/>
      <c r="K197" s="49"/>
    </row>
    <row r="198" spans="1:11" ht="21" customHeight="1">
      <c r="A198" s="29">
        <v>68</v>
      </c>
      <c r="B198" s="30" t="s">
        <v>136</v>
      </c>
      <c r="C198" s="31">
        <v>2092</v>
      </c>
      <c r="D198" s="17" t="s">
        <v>33</v>
      </c>
      <c r="E198" s="4">
        <v>20</v>
      </c>
      <c r="F198" s="57">
        <f>20*500.96</f>
        <v>10019.199999999999</v>
      </c>
      <c r="G198" s="52"/>
      <c r="H198" s="52"/>
      <c r="I198" s="61"/>
      <c r="J198" s="49"/>
      <c r="K198" s="49"/>
    </row>
    <row r="199" spans="1:11" ht="22.5" customHeight="1">
      <c r="A199" s="29"/>
      <c r="B199" s="30"/>
      <c r="C199" s="31"/>
      <c r="D199" s="17" t="s">
        <v>26</v>
      </c>
      <c r="E199" s="4">
        <v>50</v>
      </c>
      <c r="F199" s="57">
        <f>50*500.96</f>
        <v>25048</v>
      </c>
      <c r="G199" s="52"/>
      <c r="H199" s="52"/>
      <c r="I199" s="61"/>
      <c r="J199" s="49"/>
      <c r="K199" s="49"/>
    </row>
    <row r="200" spans="1:11" ht="21" customHeight="1">
      <c r="A200" s="29"/>
      <c r="B200" s="30"/>
      <c r="C200" s="31"/>
      <c r="D200" s="17" t="s">
        <v>32</v>
      </c>
      <c r="E200" s="4" t="s">
        <v>137</v>
      </c>
      <c r="F200" s="57">
        <f>7078+3*5000</f>
        <v>22078</v>
      </c>
      <c r="G200" s="52"/>
      <c r="H200" s="52"/>
      <c r="I200" s="61"/>
      <c r="J200" s="49"/>
      <c r="K200" s="49"/>
    </row>
    <row r="201" spans="1:11" ht="20.25" customHeight="1">
      <c r="A201" s="29"/>
      <c r="B201" s="30"/>
      <c r="C201" s="31"/>
      <c r="D201" s="17" t="s">
        <v>113</v>
      </c>
      <c r="E201" s="4"/>
      <c r="F201" s="58">
        <f>SUM(F198:F200)</f>
        <v>57145.2</v>
      </c>
      <c r="G201" s="52"/>
      <c r="H201" s="52">
        <f>F201</f>
        <v>57145.2</v>
      </c>
      <c r="I201" s="61"/>
      <c r="J201" s="49"/>
      <c r="K201" s="49"/>
    </row>
    <row r="202" spans="1:11" ht="21" customHeight="1">
      <c r="A202" s="29">
        <v>69</v>
      </c>
      <c r="B202" s="30" t="s">
        <v>205</v>
      </c>
      <c r="C202" s="31">
        <v>2089</v>
      </c>
      <c r="D202" s="17" t="s">
        <v>33</v>
      </c>
      <c r="E202" s="4">
        <v>20</v>
      </c>
      <c r="F202" s="57">
        <f>20*873</f>
        <v>17460</v>
      </c>
      <c r="G202" s="52"/>
      <c r="H202" s="52"/>
      <c r="I202" s="61"/>
      <c r="J202" s="49"/>
      <c r="K202" s="49"/>
    </row>
    <row r="203" spans="1:11" ht="19.5" customHeight="1">
      <c r="A203" s="29"/>
      <c r="B203" s="30"/>
      <c r="C203" s="31"/>
      <c r="D203" s="17" t="s">
        <v>26</v>
      </c>
      <c r="E203" s="4">
        <v>50</v>
      </c>
      <c r="F203" s="57">
        <f>50*500.96</f>
        <v>25048</v>
      </c>
      <c r="G203" s="52"/>
      <c r="H203" s="52"/>
      <c r="I203" s="61"/>
      <c r="J203" s="49"/>
      <c r="K203" s="49"/>
    </row>
    <row r="204" spans="1:11" ht="22.5" customHeight="1">
      <c r="A204" s="29"/>
      <c r="B204" s="30"/>
      <c r="C204" s="31"/>
      <c r="D204" s="17" t="s">
        <v>32</v>
      </c>
      <c r="E204" s="4" t="s">
        <v>78</v>
      </c>
      <c r="F204" s="57">
        <f>7078+3*5000+20*873</f>
        <v>39538</v>
      </c>
      <c r="G204" s="52"/>
      <c r="H204" s="52"/>
      <c r="I204" s="61"/>
      <c r="J204" s="49"/>
      <c r="K204" s="49"/>
    </row>
    <row r="205" spans="1:11" ht="22.5" customHeight="1">
      <c r="A205" s="29"/>
      <c r="B205" s="30"/>
      <c r="C205" s="31"/>
      <c r="D205" s="17" t="s">
        <v>113</v>
      </c>
      <c r="E205" s="4"/>
      <c r="F205" s="58">
        <f>SUM(F202:F204)</f>
        <v>82046</v>
      </c>
      <c r="G205" s="52"/>
      <c r="H205" s="52">
        <f>F205</f>
        <v>82046</v>
      </c>
      <c r="I205" s="61"/>
      <c r="J205" s="49"/>
      <c r="K205" s="49"/>
    </row>
    <row r="206" spans="1:11" ht="22.5" customHeight="1">
      <c r="A206" s="29">
        <v>70</v>
      </c>
      <c r="B206" s="30" t="s">
        <v>138</v>
      </c>
      <c r="C206" s="31">
        <v>3765</v>
      </c>
      <c r="D206" s="17" t="s">
        <v>26</v>
      </c>
      <c r="E206" s="4">
        <v>60</v>
      </c>
      <c r="F206" s="57">
        <f>60*500.96</f>
        <v>30057.6</v>
      </c>
      <c r="G206" s="52"/>
      <c r="H206" s="52"/>
      <c r="I206" s="61"/>
      <c r="J206" s="49"/>
      <c r="K206" s="49"/>
    </row>
    <row r="207" spans="1:11" ht="20.25" customHeight="1">
      <c r="A207" s="29"/>
      <c r="B207" s="30"/>
      <c r="C207" s="31"/>
      <c r="D207" s="17" t="s">
        <v>30</v>
      </c>
      <c r="E207" s="4">
        <v>60</v>
      </c>
      <c r="F207" s="57">
        <f>60*1761.64</f>
        <v>105698.40000000001</v>
      </c>
      <c r="G207" s="52"/>
      <c r="H207" s="52"/>
      <c r="I207" s="61"/>
      <c r="J207" s="49"/>
      <c r="K207" s="49"/>
    </row>
    <row r="208" spans="1:11" ht="84" customHeight="1">
      <c r="A208" s="29"/>
      <c r="B208" s="30"/>
      <c r="C208" s="31"/>
      <c r="D208" s="17" t="s">
        <v>32</v>
      </c>
      <c r="E208" s="3" t="s">
        <v>79</v>
      </c>
      <c r="F208" s="61">
        <f>4*1854+4*7078+269200+46956+3*59646.7+38038+11992+27178+17400+14300+35000</f>
        <v>674732.1</v>
      </c>
      <c r="G208" s="52"/>
      <c r="H208" s="52"/>
      <c r="I208" s="49"/>
      <c r="J208" s="49"/>
      <c r="K208" s="49"/>
    </row>
    <row r="209" spans="1:11" ht="24" customHeight="1">
      <c r="A209" s="29"/>
      <c r="B209" s="30"/>
      <c r="C209" s="31"/>
      <c r="D209" s="17" t="s">
        <v>113</v>
      </c>
      <c r="E209" s="3"/>
      <c r="F209" s="56">
        <f>SUM(F206:F208)</f>
        <v>810488.1</v>
      </c>
      <c r="G209" s="52">
        <f>F208</f>
        <v>674732.1</v>
      </c>
      <c r="H209" s="52">
        <f>F206+F207</f>
        <v>135756</v>
      </c>
      <c r="I209" s="49"/>
      <c r="J209" s="49"/>
      <c r="K209" s="49"/>
    </row>
    <row r="210" spans="1:11" ht="29.25" customHeight="1">
      <c r="A210" s="15">
        <v>71</v>
      </c>
      <c r="B210" s="3" t="s">
        <v>206</v>
      </c>
      <c r="C210" s="22">
        <v>10393</v>
      </c>
      <c r="D210" s="17" t="s">
        <v>32</v>
      </c>
      <c r="E210" s="3" t="s">
        <v>139</v>
      </c>
      <c r="F210" s="56">
        <f>104650+23400+2*20000</f>
        <v>168050</v>
      </c>
      <c r="G210" s="52"/>
      <c r="H210" s="61">
        <f>104650+23400+2*20000</f>
        <v>168050</v>
      </c>
      <c r="I210" s="49"/>
      <c r="J210" s="49"/>
      <c r="K210" s="49"/>
    </row>
    <row r="211" spans="1:11" ht="21" customHeight="1">
      <c r="A211" s="29">
        <v>72</v>
      </c>
      <c r="B211" s="33" t="s">
        <v>207</v>
      </c>
      <c r="C211" s="32">
        <v>7900</v>
      </c>
      <c r="D211" s="17" t="s">
        <v>30</v>
      </c>
      <c r="E211" s="3">
        <v>57</v>
      </c>
      <c r="F211" s="61">
        <f>57*1761.64</f>
        <v>100413.48000000001</v>
      </c>
      <c r="G211" s="52"/>
      <c r="H211" s="61"/>
      <c r="I211" s="49"/>
      <c r="J211" s="49"/>
      <c r="K211" s="49"/>
    </row>
    <row r="212" spans="1:11" ht="79.5" customHeight="1">
      <c r="A212" s="29"/>
      <c r="B212" s="33"/>
      <c r="C212" s="32"/>
      <c r="D212" s="17" t="s">
        <v>32</v>
      </c>
      <c r="E212" s="20" t="s">
        <v>140</v>
      </c>
      <c r="F212" s="52">
        <f>104650+44500+3*56250+56250+11922+27178+17400+14300</f>
        <v>444950</v>
      </c>
      <c r="G212" s="49"/>
      <c r="H212" s="52"/>
      <c r="I212" s="49"/>
      <c r="J212" s="49"/>
      <c r="K212" s="49"/>
    </row>
    <row r="213" spans="1:11" ht="21.75" customHeight="1">
      <c r="A213" s="29"/>
      <c r="B213" s="33"/>
      <c r="C213" s="32"/>
      <c r="D213" s="17" t="s">
        <v>113</v>
      </c>
      <c r="E213" s="20"/>
      <c r="F213" s="63">
        <f>SUM(F211:F212)</f>
        <v>545363.48</v>
      </c>
      <c r="G213" s="49"/>
      <c r="H213" s="52"/>
      <c r="I213" s="49"/>
      <c r="J213" s="49"/>
      <c r="K213" s="49">
        <f>F213</f>
        <v>545363.48</v>
      </c>
    </row>
    <row r="214" spans="1:11" ht="24" customHeight="1">
      <c r="A214" s="15">
        <v>73</v>
      </c>
      <c r="B214" s="12" t="s">
        <v>208</v>
      </c>
      <c r="C214" s="21">
        <v>9980</v>
      </c>
      <c r="D214" s="17" t="s">
        <v>32</v>
      </c>
      <c r="E214" s="20" t="s">
        <v>11</v>
      </c>
      <c r="F214" s="63">
        <f>104650+23400</f>
        <v>128050</v>
      </c>
      <c r="G214" s="49"/>
      <c r="H214" s="49"/>
      <c r="I214" s="49">
        <f>F214</f>
        <v>128050</v>
      </c>
      <c r="J214" s="49"/>
      <c r="K214" s="49"/>
    </row>
    <row r="215" spans="1:11" ht="20.25" customHeight="1">
      <c r="A215" s="29">
        <v>74</v>
      </c>
      <c r="B215" s="33" t="s">
        <v>141</v>
      </c>
      <c r="C215" s="31">
        <v>8267</v>
      </c>
      <c r="D215" s="17" t="s">
        <v>33</v>
      </c>
      <c r="E215" s="20">
        <v>89</v>
      </c>
      <c r="F215" s="52">
        <f>89*873</f>
        <v>77697</v>
      </c>
      <c r="G215" s="49"/>
      <c r="H215" s="49"/>
      <c r="I215" s="49"/>
      <c r="J215" s="49"/>
      <c r="K215" s="49"/>
    </row>
    <row r="216" spans="1:11" ht="21.75" customHeight="1">
      <c r="A216" s="29"/>
      <c r="B216" s="33"/>
      <c r="C216" s="31"/>
      <c r="D216" s="17" t="s">
        <v>285</v>
      </c>
      <c r="E216" s="20">
        <v>5</v>
      </c>
      <c r="F216" s="52">
        <f>5*1042</f>
        <v>5210</v>
      </c>
      <c r="G216" s="49"/>
      <c r="H216" s="49"/>
      <c r="I216" s="49"/>
      <c r="J216" s="49"/>
      <c r="K216" s="49"/>
    </row>
    <row r="217" spans="1:11" ht="21.75" customHeight="1">
      <c r="A217" s="29"/>
      <c r="B217" s="33"/>
      <c r="C217" s="31"/>
      <c r="D217" s="12" t="s">
        <v>113</v>
      </c>
      <c r="E217" s="12"/>
      <c r="F217" s="59">
        <f>SUM(F215:F216)</f>
        <v>82907</v>
      </c>
      <c r="G217" s="52">
        <f>F217</f>
        <v>82907</v>
      </c>
      <c r="H217" s="52"/>
      <c r="I217" s="49"/>
      <c r="J217" s="49"/>
      <c r="K217" s="49"/>
    </row>
    <row r="218" spans="1:11" ht="21" customHeight="1">
      <c r="A218" s="29">
        <v>75</v>
      </c>
      <c r="B218" s="41" t="s">
        <v>209</v>
      </c>
      <c r="C218" s="31">
        <v>7009</v>
      </c>
      <c r="D218" s="12" t="s">
        <v>33</v>
      </c>
      <c r="E218" s="12">
        <v>65</v>
      </c>
      <c r="F218" s="60">
        <f>65*873</f>
        <v>56745</v>
      </c>
      <c r="G218" s="52"/>
      <c r="H218" s="52"/>
      <c r="I218" s="49"/>
      <c r="J218" s="49"/>
      <c r="K218" s="49"/>
    </row>
    <row r="219" spans="1:11" ht="23.25" customHeight="1">
      <c r="A219" s="29"/>
      <c r="B219" s="42"/>
      <c r="C219" s="31"/>
      <c r="D219" s="12" t="s">
        <v>36</v>
      </c>
      <c r="E219" s="12">
        <v>15</v>
      </c>
      <c r="F219" s="60">
        <f>15*1275</f>
        <v>19125</v>
      </c>
      <c r="G219" s="52"/>
      <c r="H219" s="52"/>
      <c r="I219" s="49"/>
      <c r="J219" s="49"/>
      <c r="K219" s="49"/>
    </row>
    <row r="220" spans="1:11" ht="21.75" customHeight="1">
      <c r="A220" s="29"/>
      <c r="B220" s="43"/>
      <c r="C220" s="31"/>
      <c r="D220" s="12" t="s">
        <v>113</v>
      </c>
      <c r="E220" s="12"/>
      <c r="F220" s="59">
        <f>SUM(F218:F219)</f>
        <v>75870</v>
      </c>
      <c r="G220" s="52">
        <f>F220</f>
        <v>75870</v>
      </c>
      <c r="H220" s="52"/>
      <c r="I220" s="49"/>
      <c r="J220" s="49"/>
      <c r="K220" s="49"/>
    </row>
    <row r="221" spans="1:11" ht="21.75" customHeight="1">
      <c r="A221" s="29">
        <v>76</v>
      </c>
      <c r="B221" s="30" t="s">
        <v>211</v>
      </c>
      <c r="C221" s="31">
        <v>17986</v>
      </c>
      <c r="D221" s="12" t="s">
        <v>26</v>
      </c>
      <c r="E221" s="12">
        <f>604.5+604.5+302</f>
        <v>1511</v>
      </c>
      <c r="F221" s="60">
        <f>1511*500.96</f>
        <v>756950.5599999999</v>
      </c>
      <c r="G221" s="52"/>
      <c r="H221" s="52"/>
      <c r="I221" s="49"/>
      <c r="J221" s="49"/>
      <c r="K221" s="49"/>
    </row>
    <row r="222" spans="1:11" ht="21.75" customHeight="1">
      <c r="A222" s="29"/>
      <c r="B222" s="30"/>
      <c r="C222" s="31"/>
      <c r="D222" s="12" t="s">
        <v>33</v>
      </c>
      <c r="E222" s="12">
        <v>55</v>
      </c>
      <c r="F222" s="60">
        <f>55*873</f>
        <v>48015</v>
      </c>
      <c r="G222" s="52"/>
      <c r="H222" s="52"/>
      <c r="I222" s="49"/>
      <c r="J222" s="49"/>
      <c r="K222" s="49"/>
    </row>
    <row r="223" spans="1:11" ht="66" customHeight="1">
      <c r="A223" s="29"/>
      <c r="B223" s="30"/>
      <c r="C223" s="31"/>
      <c r="D223" s="17" t="s">
        <v>32</v>
      </c>
      <c r="E223" s="2" t="s">
        <v>80</v>
      </c>
      <c r="F223" s="55">
        <f>990*450+40000+40000+10000+35000+2*11992+90*1188</f>
        <v>701404</v>
      </c>
      <c r="G223" s="52"/>
      <c r="H223" s="52"/>
      <c r="I223" s="49"/>
      <c r="J223" s="49"/>
      <c r="K223" s="49"/>
    </row>
    <row r="224" spans="1:11" ht="21.75" customHeight="1">
      <c r="A224" s="29"/>
      <c r="B224" s="30"/>
      <c r="C224" s="31"/>
      <c r="D224" s="17" t="s">
        <v>113</v>
      </c>
      <c r="E224" s="2"/>
      <c r="F224" s="54">
        <f>SUM(F221:F223)</f>
        <v>1506369.56</v>
      </c>
      <c r="G224" s="52">
        <f>450*990+90*1180</f>
        <v>551700</v>
      </c>
      <c r="H224" s="52">
        <f>F223+F222</f>
        <v>749419</v>
      </c>
      <c r="I224" s="49">
        <f>F223-G224</f>
        <v>149704</v>
      </c>
      <c r="J224" s="49"/>
      <c r="K224" s="49"/>
    </row>
    <row r="225" spans="1:11" ht="27.75" customHeight="1">
      <c r="A225" s="29">
        <v>77</v>
      </c>
      <c r="B225" s="30" t="s">
        <v>210</v>
      </c>
      <c r="C225" s="31">
        <v>6603</v>
      </c>
      <c r="D225" s="17" t="s">
        <v>26</v>
      </c>
      <c r="E225" s="2">
        <v>350</v>
      </c>
      <c r="F225" s="55">
        <f>350*500.96</f>
        <v>175336</v>
      </c>
      <c r="G225" s="52"/>
      <c r="H225" s="52"/>
      <c r="I225" s="49"/>
      <c r="J225" s="49"/>
      <c r="K225" s="49"/>
    </row>
    <row r="226" spans="1:11" ht="27.75" customHeight="1">
      <c r="A226" s="29"/>
      <c r="B226" s="30"/>
      <c r="C226" s="31"/>
      <c r="D226" s="2" t="s">
        <v>33</v>
      </c>
      <c r="E226" s="2">
        <v>60</v>
      </c>
      <c r="F226" s="55">
        <f>60*873</f>
        <v>52380</v>
      </c>
      <c r="G226" s="52"/>
      <c r="H226" s="52"/>
      <c r="I226" s="49"/>
      <c r="J226" s="49"/>
      <c r="K226" s="49"/>
    </row>
    <row r="227" spans="1:11" ht="24" customHeight="1">
      <c r="A227" s="29"/>
      <c r="B227" s="30"/>
      <c r="C227" s="31"/>
      <c r="D227" s="2" t="s">
        <v>113</v>
      </c>
      <c r="E227" s="2"/>
      <c r="F227" s="54">
        <f>SUM(F225:F226)</f>
        <v>227716</v>
      </c>
      <c r="G227" s="52"/>
      <c r="H227" s="52"/>
      <c r="I227" s="49">
        <f>F227</f>
        <v>227716</v>
      </c>
      <c r="J227" s="49"/>
      <c r="K227" s="49"/>
    </row>
    <row r="228" spans="1:11" ht="21" customHeight="1">
      <c r="A228" s="29">
        <v>78</v>
      </c>
      <c r="B228" s="30" t="s">
        <v>260</v>
      </c>
      <c r="C228" s="31">
        <v>12041</v>
      </c>
      <c r="D228" s="2" t="s">
        <v>26</v>
      </c>
      <c r="E228" s="2">
        <v>205</v>
      </c>
      <c r="F228" s="55">
        <f>205*500.96</f>
        <v>102696.8</v>
      </c>
      <c r="G228" s="52"/>
      <c r="H228" s="52"/>
      <c r="I228" s="49"/>
      <c r="J228" s="49"/>
      <c r="K228" s="49"/>
    </row>
    <row r="229" spans="1:11" ht="22.5" customHeight="1">
      <c r="A229" s="29"/>
      <c r="B229" s="30"/>
      <c r="C229" s="31"/>
      <c r="D229" s="2" t="s">
        <v>33</v>
      </c>
      <c r="E229" s="2">
        <v>95</v>
      </c>
      <c r="F229" s="55">
        <f>95*873</f>
        <v>82935</v>
      </c>
      <c r="G229" s="52"/>
      <c r="H229" s="52"/>
      <c r="I229" s="49"/>
      <c r="J229" s="49"/>
      <c r="K229" s="49"/>
    </row>
    <row r="230" spans="1:11" ht="32.25" customHeight="1">
      <c r="A230" s="29"/>
      <c r="B230" s="30"/>
      <c r="C230" s="31"/>
      <c r="D230" s="4" t="s">
        <v>81</v>
      </c>
      <c r="E230" s="4"/>
      <c r="F230" s="57">
        <f>990*325</f>
        <v>321750</v>
      </c>
      <c r="G230" s="52"/>
      <c r="H230" s="52"/>
      <c r="I230" s="49"/>
      <c r="J230" s="49"/>
      <c r="K230" s="49"/>
    </row>
    <row r="231" spans="1:11" ht="27.75" customHeight="1">
      <c r="A231" s="29"/>
      <c r="B231" s="30"/>
      <c r="C231" s="31"/>
      <c r="D231" s="4" t="s">
        <v>113</v>
      </c>
      <c r="E231" s="4"/>
      <c r="F231" s="58">
        <f>SUM(F228:F230)</f>
        <v>507381.8</v>
      </c>
      <c r="G231" s="52"/>
      <c r="H231" s="52"/>
      <c r="I231" s="49">
        <f>F231</f>
        <v>507381.8</v>
      </c>
      <c r="J231" s="49"/>
      <c r="K231" s="49"/>
    </row>
    <row r="232" spans="1:11" ht="27.75" customHeight="1">
      <c r="A232" s="15">
        <v>79</v>
      </c>
      <c r="B232" s="3" t="s">
        <v>212</v>
      </c>
      <c r="C232" s="22">
        <v>4163</v>
      </c>
      <c r="D232" s="4" t="s">
        <v>26</v>
      </c>
      <c r="E232" s="4">
        <v>205</v>
      </c>
      <c r="F232" s="58">
        <f>205*500.96</f>
        <v>102696.8</v>
      </c>
      <c r="G232" s="52"/>
      <c r="H232" s="52"/>
      <c r="I232" s="49"/>
      <c r="J232" s="49">
        <f>F232</f>
        <v>102696.8</v>
      </c>
      <c r="K232" s="49"/>
    </row>
    <row r="233" spans="1:11" ht="30" customHeight="1">
      <c r="A233" s="29">
        <v>80</v>
      </c>
      <c r="B233" s="30" t="s">
        <v>261</v>
      </c>
      <c r="C233" s="32">
        <v>8414</v>
      </c>
      <c r="D233" s="4" t="s">
        <v>26</v>
      </c>
      <c r="E233" s="4">
        <v>600</v>
      </c>
      <c r="F233" s="57">
        <f>600*500.96</f>
        <v>300576</v>
      </c>
      <c r="G233" s="52"/>
      <c r="H233" s="52"/>
      <c r="I233" s="49"/>
      <c r="J233" s="49"/>
      <c r="K233" s="49"/>
    </row>
    <row r="234" spans="1:11" ht="30" customHeight="1">
      <c r="A234" s="29"/>
      <c r="B234" s="30"/>
      <c r="C234" s="32"/>
      <c r="D234" s="17" t="s">
        <v>32</v>
      </c>
      <c r="E234" s="3" t="s">
        <v>82</v>
      </c>
      <c r="F234" s="61">
        <f>2*1854+2*7078+22375+56250+20383</f>
        <v>116872</v>
      </c>
      <c r="G234" s="52"/>
      <c r="H234" s="52"/>
      <c r="I234" s="49"/>
      <c r="J234" s="49"/>
      <c r="K234" s="49"/>
    </row>
    <row r="235" spans="1:11" ht="30" customHeight="1">
      <c r="A235" s="29"/>
      <c r="B235" s="30"/>
      <c r="C235" s="32"/>
      <c r="D235" s="17" t="s">
        <v>113</v>
      </c>
      <c r="E235" s="3"/>
      <c r="F235" s="56">
        <f>SUM(F233:F234)</f>
        <v>417448</v>
      </c>
      <c r="G235" s="52"/>
      <c r="H235" s="52"/>
      <c r="I235" s="49">
        <f>F235</f>
        <v>417448</v>
      </c>
      <c r="J235" s="49"/>
      <c r="K235" s="49"/>
    </row>
    <row r="236" spans="1:11" ht="27.75" customHeight="1">
      <c r="A236" s="29">
        <v>81</v>
      </c>
      <c r="B236" s="33" t="s">
        <v>213</v>
      </c>
      <c r="C236" s="32">
        <v>3807</v>
      </c>
      <c r="D236" s="17" t="s">
        <v>26</v>
      </c>
      <c r="E236" s="3">
        <v>400</v>
      </c>
      <c r="F236" s="61">
        <f>400*500.96</f>
        <v>200384</v>
      </c>
      <c r="G236" s="52"/>
      <c r="H236" s="52"/>
      <c r="I236" s="49"/>
      <c r="J236" s="49"/>
      <c r="K236" s="49"/>
    </row>
    <row r="237" spans="1:11" ht="27.75" customHeight="1">
      <c r="A237" s="29"/>
      <c r="B237" s="33"/>
      <c r="C237" s="32"/>
      <c r="D237" s="17" t="s">
        <v>32</v>
      </c>
      <c r="E237" s="18" t="s">
        <v>83</v>
      </c>
      <c r="F237" s="57">
        <f>6*1854+6*7078</f>
        <v>53592</v>
      </c>
      <c r="G237" s="49"/>
      <c r="H237" s="49"/>
      <c r="I237" s="49"/>
      <c r="J237" s="49"/>
      <c r="K237" s="49"/>
    </row>
    <row r="238" spans="1:11" ht="27.75" customHeight="1">
      <c r="A238" s="29"/>
      <c r="B238" s="33"/>
      <c r="C238" s="32"/>
      <c r="D238" s="17" t="s">
        <v>113</v>
      </c>
      <c r="E238" s="18"/>
      <c r="F238" s="58">
        <f>SUM(F236:F237)</f>
        <v>253976</v>
      </c>
      <c r="G238" s="49">
        <f>F238</f>
        <v>253976</v>
      </c>
      <c r="H238" s="49"/>
      <c r="I238" s="49"/>
      <c r="J238" s="49"/>
      <c r="K238" s="49"/>
    </row>
    <row r="239" spans="1:11" ht="27.75" customHeight="1">
      <c r="A239" s="29">
        <v>82</v>
      </c>
      <c r="B239" s="33" t="s">
        <v>262</v>
      </c>
      <c r="C239" s="32">
        <v>5107</v>
      </c>
      <c r="D239" s="17" t="s">
        <v>26</v>
      </c>
      <c r="E239" s="18">
        <v>350</v>
      </c>
      <c r="F239" s="57">
        <f>350*500.96</f>
        <v>175336</v>
      </c>
      <c r="G239" s="49"/>
      <c r="H239" s="49"/>
      <c r="I239" s="49"/>
      <c r="J239" s="49"/>
      <c r="K239" s="49"/>
    </row>
    <row r="240" spans="1:11" ht="27.75" customHeight="1">
      <c r="A240" s="29"/>
      <c r="B240" s="33"/>
      <c r="C240" s="32"/>
      <c r="D240" s="18" t="s">
        <v>32</v>
      </c>
      <c r="E240" s="18" t="s">
        <v>84</v>
      </c>
      <c r="F240" s="57">
        <f>2*1854+2*7078</f>
        <v>17864</v>
      </c>
      <c r="G240" s="49"/>
      <c r="H240" s="49"/>
      <c r="I240" s="49"/>
      <c r="J240" s="49"/>
      <c r="K240" s="49"/>
    </row>
    <row r="241" spans="1:11" ht="27.75" customHeight="1">
      <c r="A241" s="29"/>
      <c r="B241" s="33"/>
      <c r="C241" s="32"/>
      <c r="D241" s="18" t="s">
        <v>113</v>
      </c>
      <c r="E241" s="18"/>
      <c r="F241" s="58">
        <f>SUM(F239:F240)</f>
        <v>193200</v>
      </c>
      <c r="G241" s="49"/>
      <c r="H241" s="49">
        <f>F241</f>
        <v>193200</v>
      </c>
      <c r="I241" s="49"/>
      <c r="J241" s="49"/>
      <c r="K241" s="49"/>
    </row>
    <row r="242" spans="1:11" ht="27.75" customHeight="1">
      <c r="A242" s="29">
        <v>83</v>
      </c>
      <c r="B242" s="33" t="s">
        <v>263</v>
      </c>
      <c r="C242" s="32">
        <v>10739</v>
      </c>
      <c r="D242" s="18" t="s">
        <v>26</v>
      </c>
      <c r="E242" s="18">
        <v>500</v>
      </c>
      <c r="F242" s="57">
        <f>500*500.96</f>
        <v>250480</v>
      </c>
      <c r="G242" s="49"/>
      <c r="H242" s="49"/>
      <c r="I242" s="49"/>
      <c r="J242" s="49"/>
      <c r="K242" s="49"/>
    </row>
    <row r="243" spans="1:11" ht="27.75" customHeight="1">
      <c r="A243" s="29"/>
      <c r="B243" s="33"/>
      <c r="C243" s="32"/>
      <c r="D243" s="18" t="s">
        <v>32</v>
      </c>
      <c r="E243" s="18" t="s">
        <v>85</v>
      </c>
      <c r="F243" s="57">
        <f>7*1854+7*7078</f>
        <v>62524</v>
      </c>
      <c r="G243" s="49"/>
      <c r="H243" s="49"/>
      <c r="I243" s="49"/>
      <c r="J243" s="49"/>
      <c r="K243" s="49"/>
    </row>
    <row r="244" spans="1:11" ht="27.75" customHeight="1">
      <c r="A244" s="29"/>
      <c r="B244" s="33"/>
      <c r="C244" s="32"/>
      <c r="D244" s="18" t="s">
        <v>113</v>
      </c>
      <c r="E244" s="18"/>
      <c r="F244" s="58">
        <f>SUM(F242:F243)</f>
        <v>313004</v>
      </c>
      <c r="G244" s="49"/>
      <c r="H244" s="49">
        <f>F244</f>
        <v>313004</v>
      </c>
      <c r="I244" s="49"/>
      <c r="J244" s="49"/>
      <c r="K244" s="49"/>
    </row>
    <row r="245" spans="1:11" ht="27.75" customHeight="1">
      <c r="A245" s="29">
        <v>84</v>
      </c>
      <c r="B245" s="30" t="s">
        <v>264</v>
      </c>
      <c r="C245" s="32">
        <v>8507</v>
      </c>
      <c r="D245" s="18" t="s">
        <v>26</v>
      </c>
      <c r="E245" s="18">
        <v>200</v>
      </c>
      <c r="F245" s="57">
        <f>200*500.96</f>
        <v>100192</v>
      </c>
      <c r="G245" s="49"/>
      <c r="H245" s="49"/>
      <c r="I245" s="49"/>
      <c r="J245" s="49"/>
      <c r="K245" s="49"/>
    </row>
    <row r="246" spans="1:11" ht="27.75" customHeight="1">
      <c r="A246" s="29"/>
      <c r="B246" s="30"/>
      <c r="C246" s="32"/>
      <c r="D246" s="17" t="s">
        <v>32</v>
      </c>
      <c r="E246" s="3" t="s">
        <v>16</v>
      </c>
      <c r="F246" s="61">
        <f>120000</f>
        <v>120000</v>
      </c>
      <c r="G246" s="52"/>
      <c r="H246" s="52"/>
      <c r="I246" s="49"/>
      <c r="J246" s="49"/>
      <c r="K246" s="49"/>
    </row>
    <row r="247" spans="1:11" ht="27.75" customHeight="1">
      <c r="A247" s="29"/>
      <c r="B247" s="30"/>
      <c r="C247" s="32"/>
      <c r="D247" s="17" t="s">
        <v>113</v>
      </c>
      <c r="E247" s="3"/>
      <c r="F247" s="56">
        <f>SUM(F245:F246)</f>
        <v>220192</v>
      </c>
      <c r="G247" s="52"/>
      <c r="H247" s="52">
        <f>F247</f>
        <v>220192</v>
      </c>
      <c r="I247" s="49"/>
      <c r="J247" s="49"/>
      <c r="K247" s="49"/>
    </row>
    <row r="248" spans="1:11" ht="27.75" customHeight="1">
      <c r="A248" s="15">
        <v>85</v>
      </c>
      <c r="B248" s="3" t="s">
        <v>142</v>
      </c>
      <c r="C248" s="22">
        <v>4047</v>
      </c>
      <c r="D248" s="17" t="s">
        <v>32</v>
      </c>
      <c r="E248" s="3" t="s">
        <v>17</v>
      </c>
      <c r="F248" s="56">
        <f>11922+35000+44500</f>
        <v>91422</v>
      </c>
      <c r="G248" s="52">
        <f>F248</f>
        <v>91422</v>
      </c>
      <c r="H248" s="52"/>
      <c r="I248" s="49"/>
      <c r="J248" s="49"/>
      <c r="K248" s="49"/>
    </row>
    <row r="249" spans="1:11" ht="27.75" customHeight="1">
      <c r="A249" s="15">
        <v>86</v>
      </c>
      <c r="B249" s="12" t="s">
        <v>265</v>
      </c>
      <c r="C249" s="21">
        <v>12173</v>
      </c>
      <c r="D249" s="17" t="s">
        <v>32</v>
      </c>
      <c r="E249" s="12" t="s">
        <v>8</v>
      </c>
      <c r="F249" s="59">
        <v>1347337</v>
      </c>
      <c r="G249" s="49"/>
      <c r="H249" s="49"/>
      <c r="I249" s="49">
        <f>F249</f>
        <v>1347337</v>
      </c>
      <c r="J249" s="49"/>
      <c r="K249" s="49"/>
    </row>
    <row r="250" spans="1:11" ht="27.75" customHeight="1">
      <c r="A250" s="15">
        <v>87</v>
      </c>
      <c r="B250" s="12" t="s">
        <v>266</v>
      </c>
      <c r="C250" s="21">
        <v>8113</v>
      </c>
      <c r="D250" s="18" t="s">
        <v>49</v>
      </c>
      <c r="E250" s="18">
        <v>35</v>
      </c>
      <c r="F250" s="50">
        <f>35*873</f>
        <v>30555</v>
      </c>
      <c r="G250" s="49">
        <f>F250</f>
        <v>30555</v>
      </c>
      <c r="H250" s="49"/>
      <c r="I250" s="49"/>
      <c r="J250" s="49"/>
      <c r="K250" s="49"/>
    </row>
    <row r="251" spans="1:11" ht="27.75" customHeight="1">
      <c r="A251" s="15">
        <v>88</v>
      </c>
      <c r="B251" s="12" t="s">
        <v>267</v>
      </c>
      <c r="C251" s="21">
        <v>8718</v>
      </c>
      <c r="D251" s="18" t="s">
        <v>26</v>
      </c>
      <c r="E251" s="18">
        <v>205</v>
      </c>
      <c r="F251" s="50">
        <f>205*500.96</f>
        <v>102696.8</v>
      </c>
      <c r="G251" s="49">
        <f>F251</f>
        <v>102696.8</v>
      </c>
      <c r="H251" s="49"/>
      <c r="I251" s="49"/>
      <c r="J251" s="49"/>
      <c r="K251" s="49"/>
    </row>
    <row r="252" spans="1:11" ht="27.75" customHeight="1">
      <c r="A252" s="29">
        <v>89</v>
      </c>
      <c r="B252" s="33" t="s">
        <v>269</v>
      </c>
      <c r="C252" s="31">
        <v>9702</v>
      </c>
      <c r="D252" s="18" t="s">
        <v>86</v>
      </c>
      <c r="E252" s="18">
        <v>3</v>
      </c>
      <c r="F252" s="49">
        <f>3*2601</f>
        <v>7803</v>
      </c>
      <c r="G252" s="49"/>
      <c r="H252" s="49"/>
      <c r="I252" s="49"/>
      <c r="J252" s="49"/>
      <c r="K252" s="49"/>
    </row>
    <row r="253" spans="1:11" ht="27.75" customHeight="1">
      <c r="A253" s="29"/>
      <c r="B253" s="33"/>
      <c r="C253" s="31"/>
      <c r="D253" s="18" t="s">
        <v>104</v>
      </c>
      <c r="E253" s="18">
        <v>10</v>
      </c>
      <c r="F253" s="49">
        <f>10*1042</f>
        <v>10420</v>
      </c>
      <c r="G253" s="49"/>
      <c r="H253" s="49"/>
      <c r="I253" s="49"/>
      <c r="J253" s="49"/>
      <c r="K253" s="49"/>
    </row>
    <row r="254" spans="1:11" ht="27.75" customHeight="1">
      <c r="A254" s="29"/>
      <c r="B254" s="33"/>
      <c r="C254" s="31"/>
      <c r="D254" s="18" t="s">
        <v>113</v>
      </c>
      <c r="E254" s="18"/>
      <c r="F254" s="50">
        <f>SUM(F252:F253)</f>
        <v>18223</v>
      </c>
      <c r="G254" s="49">
        <f>F254</f>
        <v>18223</v>
      </c>
      <c r="H254" s="49"/>
      <c r="I254" s="49"/>
      <c r="J254" s="49"/>
      <c r="K254" s="49"/>
    </row>
    <row r="255" spans="1:11" ht="27.75" customHeight="1">
      <c r="A255" s="15">
        <v>90</v>
      </c>
      <c r="B255" s="12" t="s">
        <v>268</v>
      </c>
      <c r="C255" s="21">
        <v>12850</v>
      </c>
      <c r="D255" s="18" t="s">
        <v>29</v>
      </c>
      <c r="E255" s="18">
        <v>10</v>
      </c>
      <c r="F255" s="49">
        <f>10*4932</f>
        <v>49320</v>
      </c>
      <c r="G255" s="49"/>
      <c r="H255" s="49"/>
      <c r="I255" s="49"/>
      <c r="J255" s="49"/>
      <c r="K255" s="49"/>
    </row>
    <row r="256" spans="1:11" ht="27.75" customHeight="1">
      <c r="A256" s="29">
        <v>91</v>
      </c>
      <c r="B256" s="30" t="s">
        <v>270</v>
      </c>
      <c r="C256" s="31">
        <v>6202</v>
      </c>
      <c r="D256" s="18" t="s">
        <v>26</v>
      </c>
      <c r="E256" s="18">
        <v>50</v>
      </c>
      <c r="F256" s="49">
        <f>50*500.96</f>
        <v>25048</v>
      </c>
      <c r="G256" s="49"/>
      <c r="H256" s="49"/>
      <c r="I256" s="49"/>
      <c r="J256" s="49"/>
      <c r="K256" s="49"/>
    </row>
    <row r="257" spans="1:11" ht="27.75" customHeight="1">
      <c r="A257" s="29"/>
      <c r="B257" s="30"/>
      <c r="C257" s="31"/>
      <c r="D257" s="3" t="s">
        <v>30</v>
      </c>
      <c r="E257" s="3">
        <v>68</v>
      </c>
      <c r="F257" s="61">
        <f>68*1761.64</f>
        <v>119791.52</v>
      </c>
      <c r="G257" s="52"/>
      <c r="H257" s="52"/>
      <c r="I257" s="49"/>
      <c r="J257" s="49"/>
      <c r="K257" s="49"/>
    </row>
    <row r="258" spans="1:11" ht="27.75" customHeight="1">
      <c r="A258" s="29"/>
      <c r="B258" s="30"/>
      <c r="C258" s="31"/>
      <c r="D258" s="3" t="s">
        <v>113</v>
      </c>
      <c r="E258" s="3"/>
      <c r="F258" s="56">
        <f>SUM(F256:F257)</f>
        <v>144839.52000000002</v>
      </c>
      <c r="G258" s="52">
        <f>F258</f>
        <v>144839.52000000002</v>
      </c>
      <c r="H258" s="52"/>
      <c r="I258" s="49"/>
      <c r="J258" s="49"/>
      <c r="K258" s="49"/>
    </row>
    <row r="259" spans="1:11" ht="27.75" customHeight="1">
      <c r="A259" s="29">
        <v>92</v>
      </c>
      <c r="B259" s="30" t="s">
        <v>214</v>
      </c>
      <c r="C259" s="31">
        <v>5351</v>
      </c>
      <c r="D259" s="3" t="s">
        <v>26</v>
      </c>
      <c r="E259" s="3">
        <v>50</v>
      </c>
      <c r="F259" s="61">
        <f>50*500.96</f>
        <v>25048</v>
      </c>
      <c r="G259" s="52"/>
      <c r="H259" s="52"/>
      <c r="I259" s="49"/>
      <c r="J259" s="49"/>
      <c r="K259" s="49"/>
    </row>
    <row r="260" spans="1:11" ht="27.75" customHeight="1">
      <c r="A260" s="29"/>
      <c r="B260" s="30"/>
      <c r="C260" s="31"/>
      <c r="D260" s="3" t="s">
        <v>30</v>
      </c>
      <c r="E260" s="3">
        <v>32</v>
      </c>
      <c r="F260" s="61">
        <f>32*1761.64</f>
        <v>56372.48</v>
      </c>
      <c r="G260" s="52"/>
      <c r="H260" s="52"/>
      <c r="I260" s="49"/>
      <c r="J260" s="49"/>
      <c r="K260" s="49"/>
    </row>
    <row r="261" spans="1:11" ht="45" customHeight="1">
      <c r="A261" s="29"/>
      <c r="B261" s="30"/>
      <c r="C261" s="31"/>
      <c r="D261" s="17" t="s">
        <v>32</v>
      </c>
      <c r="E261" s="3" t="s">
        <v>87</v>
      </c>
      <c r="F261" s="61">
        <f>11992+2*7078+27178</f>
        <v>53326</v>
      </c>
      <c r="G261" s="52"/>
      <c r="H261" s="52"/>
      <c r="I261" s="49"/>
      <c r="J261" s="49"/>
      <c r="K261" s="49"/>
    </row>
    <row r="262" spans="1:11" ht="27.75" customHeight="1">
      <c r="A262" s="29"/>
      <c r="B262" s="30"/>
      <c r="C262" s="31"/>
      <c r="D262" s="17" t="s">
        <v>113</v>
      </c>
      <c r="E262" s="3"/>
      <c r="F262" s="56">
        <f>SUM(F259:F261)</f>
        <v>134746.48</v>
      </c>
      <c r="G262" s="52">
        <f>F262</f>
        <v>134746.48</v>
      </c>
      <c r="H262" s="52"/>
      <c r="I262" s="49"/>
      <c r="J262" s="49"/>
      <c r="K262" s="49"/>
    </row>
    <row r="263" spans="1:11" ht="27.75" customHeight="1">
      <c r="A263" s="29">
        <v>93</v>
      </c>
      <c r="B263" s="33" t="s">
        <v>271</v>
      </c>
      <c r="C263" s="31">
        <v>7380</v>
      </c>
      <c r="D263" s="17" t="s">
        <v>30</v>
      </c>
      <c r="E263" s="3">
        <v>11</v>
      </c>
      <c r="F263" s="61">
        <f>11*1761.64</f>
        <v>19378.04</v>
      </c>
      <c r="G263" s="52"/>
      <c r="H263" s="52"/>
      <c r="I263" s="49"/>
      <c r="J263" s="49"/>
      <c r="K263" s="49"/>
    </row>
    <row r="264" spans="1:11" ht="27.75" customHeight="1">
      <c r="A264" s="29"/>
      <c r="B264" s="33"/>
      <c r="C264" s="31"/>
      <c r="D264" s="12" t="s">
        <v>88</v>
      </c>
      <c r="E264" s="12">
        <v>25</v>
      </c>
      <c r="F264" s="60">
        <f>25*1200</f>
        <v>30000</v>
      </c>
      <c r="G264" s="52"/>
      <c r="H264" s="52"/>
      <c r="I264" s="49"/>
      <c r="J264" s="49"/>
      <c r="K264" s="49"/>
    </row>
    <row r="265" spans="1:11" ht="27.75" customHeight="1">
      <c r="A265" s="29"/>
      <c r="B265" s="33"/>
      <c r="C265" s="31"/>
      <c r="D265" s="12" t="s">
        <v>113</v>
      </c>
      <c r="E265" s="12"/>
      <c r="F265" s="59">
        <f>SUM(F263:F264)</f>
        <v>49378.04</v>
      </c>
      <c r="G265" s="52">
        <f>F265</f>
        <v>49378.04</v>
      </c>
      <c r="H265" s="52"/>
      <c r="I265" s="49"/>
      <c r="J265" s="49"/>
      <c r="K265" s="49"/>
    </row>
    <row r="266" spans="1:11" ht="27.75" customHeight="1">
      <c r="A266" s="15">
        <v>94</v>
      </c>
      <c r="B266" s="12" t="s">
        <v>215</v>
      </c>
      <c r="C266" s="21">
        <v>2516</v>
      </c>
      <c r="D266" s="17" t="s">
        <v>32</v>
      </c>
      <c r="E266" s="12" t="s">
        <v>4</v>
      </c>
      <c r="F266" s="59">
        <v>85120</v>
      </c>
      <c r="G266" s="52">
        <f>F266</f>
        <v>85120</v>
      </c>
      <c r="H266" s="52"/>
      <c r="I266" s="49"/>
      <c r="J266" s="49"/>
      <c r="K266" s="49"/>
    </row>
    <row r="267" spans="1:11" ht="27.75" customHeight="1">
      <c r="A267" s="15">
        <v>95</v>
      </c>
      <c r="B267" s="12" t="s">
        <v>272</v>
      </c>
      <c r="C267" s="21">
        <v>6741</v>
      </c>
      <c r="D267" s="17" t="s">
        <v>32</v>
      </c>
      <c r="E267" s="12" t="s">
        <v>5</v>
      </c>
      <c r="F267" s="59">
        <f>11922+2*7078</f>
        <v>26078</v>
      </c>
      <c r="G267" s="49">
        <f>F267</f>
        <v>26078</v>
      </c>
      <c r="H267" s="49"/>
      <c r="I267" s="49"/>
      <c r="J267" s="49"/>
      <c r="K267" s="49"/>
    </row>
    <row r="268" spans="1:11" ht="27.75" customHeight="1">
      <c r="A268" s="29">
        <v>96</v>
      </c>
      <c r="B268" s="33" t="s">
        <v>216</v>
      </c>
      <c r="C268" s="31">
        <v>7721</v>
      </c>
      <c r="D268" s="17" t="s">
        <v>89</v>
      </c>
      <c r="E268" s="12">
        <v>135</v>
      </c>
      <c r="F268" s="60">
        <f>135*1761.64</f>
        <v>237821.40000000002</v>
      </c>
      <c r="G268" s="49"/>
      <c r="H268" s="49"/>
      <c r="I268" s="49"/>
      <c r="J268" s="49"/>
      <c r="K268" s="49"/>
    </row>
    <row r="269" spans="1:11" ht="27.75" customHeight="1">
      <c r="A269" s="29"/>
      <c r="B269" s="33"/>
      <c r="C269" s="31"/>
      <c r="D269" s="12" t="s">
        <v>32</v>
      </c>
      <c r="E269" s="12" t="s">
        <v>90</v>
      </c>
      <c r="F269" s="60">
        <f>27178</f>
        <v>27178</v>
      </c>
      <c r="G269" s="49"/>
      <c r="H269" s="49"/>
      <c r="I269" s="49"/>
      <c r="J269" s="49"/>
      <c r="K269" s="49"/>
    </row>
    <row r="270" spans="1:11" ht="27.75" customHeight="1">
      <c r="A270" s="29"/>
      <c r="B270" s="33"/>
      <c r="C270" s="31"/>
      <c r="D270" s="12" t="s">
        <v>113</v>
      </c>
      <c r="E270" s="12"/>
      <c r="F270" s="59">
        <f>SUM(F268:F269)</f>
        <v>264999.4</v>
      </c>
      <c r="G270" s="49">
        <f>F270</f>
        <v>264999.4</v>
      </c>
      <c r="H270" s="49"/>
      <c r="I270" s="49"/>
      <c r="J270" s="49"/>
      <c r="K270" s="49"/>
    </row>
    <row r="271" spans="1:11" ht="27.75" customHeight="1">
      <c r="A271" s="29">
        <v>97</v>
      </c>
      <c r="B271" s="30" t="s">
        <v>217</v>
      </c>
      <c r="C271" s="31">
        <v>12980</v>
      </c>
      <c r="D271" s="12" t="s">
        <v>26</v>
      </c>
      <c r="E271" s="12">
        <v>120</v>
      </c>
      <c r="F271" s="60">
        <f>120*500.96</f>
        <v>60115.2</v>
      </c>
      <c r="G271" s="49"/>
      <c r="H271" s="49"/>
      <c r="I271" s="49"/>
      <c r="J271" s="49"/>
      <c r="K271" s="49"/>
    </row>
    <row r="272" spans="1:11" ht="46.5" customHeight="1">
      <c r="A272" s="29"/>
      <c r="B272" s="30"/>
      <c r="C272" s="31"/>
      <c r="D272" s="12" t="s">
        <v>33</v>
      </c>
      <c r="E272" s="12">
        <v>75</v>
      </c>
      <c r="F272" s="60">
        <f>75*873</f>
        <v>65475</v>
      </c>
      <c r="G272" s="49"/>
      <c r="H272" s="49"/>
      <c r="I272" s="49"/>
      <c r="J272" s="49"/>
      <c r="K272" s="49"/>
    </row>
    <row r="273" spans="1:11" ht="49.5" customHeight="1">
      <c r="A273" s="29"/>
      <c r="B273" s="30"/>
      <c r="C273" s="31"/>
      <c r="D273" s="12" t="s">
        <v>32</v>
      </c>
      <c r="E273" s="3" t="s">
        <v>91</v>
      </c>
      <c r="F273" s="60">
        <f>12*1854+990*345</f>
        <v>363798</v>
      </c>
      <c r="G273" s="49"/>
      <c r="H273" s="49"/>
      <c r="I273" s="49"/>
      <c r="J273" s="49"/>
      <c r="K273" s="49"/>
    </row>
    <row r="274" spans="1:11" ht="27" customHeight="1">
      <c r="A274" s="29"/>
      <c r="B274" s="30"/>
      <c r="C274" s="31"/>
      <c r="D274" s="3" t="s">
        <v>75</v>
      </c>
      <c r="E274" s="3">
        <v>15</v>
      </c>
      <c r="F274" s="61">
        <f>15*1042</f>
        <v>15630</v>
      </c>
      <c r="G274" s="52"/>
      <c r="H274" s="52"/>
      <c r="I274" s="49"/>
      <c r="J274" s="49"/>
      <c r="K274" s="49"/>
    </row>
    <row r="275" spans="1:11" ht="34.5" customHeight="1">
      <c r="A275" s="29"/>
      <c r="B275" s="30"/>
      <c r="C275" s="31"/>
      <c r="D275" s="3" t="s">
        <v>113</v>
      </c>
      <c r="E275" s="3"/>
      <c r="F275" s="56">
        <f>SUM(F271:F274)</f>
        <v>505018.2</v>
      </c>
      <c r="G275" s="52"/>
      <c r="H275" s="52"/>
      <c r="I275" s="49">
        <f>F275</f>
        <v>505018.2</v>
      </c>
      <c r="J275" s="49"/>
      <c r="K275" s="49"/>
    </row>
    <row r="276" spans="1:11" ht="31.5" customHeight="1">
      <c r="A276" s="15">
        <v>98</v>
      </c>
      <c r="B276" s="3" t="s">
        <v>218</v>
      </c>
      <c r="C276" s="22">
        <v>13322</v>
      </c>
      <c r="D276" s="3" t="s">
        <v>32</v>
      </c>
      <c r="E276" s="3" t="s">
        <v>3</v>
      </c>
      <c r="F276" s="56">
        <v>1854</v>
      </c>
      <c r="G276" s="52">
        <f>F276</f>
        <v>1854</v>
      </c>
      <c r="H276" s="52"/>
      <c r="I276" s="49"/>
      <c r="J276" s="49"/>
      <c r="K276" s="49"/>
    </row>
    <row r="277" spans="1:11" ht="27.75" customHeight="1">
      <c r="A277" s="29">
        <v>99</v>
      </c>
      <c r="B277" s="30" t="s">
        <v>274</v>
      </c>
      <c r="C277" s="32">
        <v>11089</v>
      </c>
      <c r="D277" s="3" t="s">
        <v>32</v>
      </c>
      <c r="E277" s="3" t="s">
        <v>92</v>
      </c>
      <c r="F277" s="61">
        <f>14*1854+3*7078</f>
        <v>47190</v>
      </c>
      <c r="G277" s="52"/>
      <c r="H277" s="52"/>
      <c r="I277" s="49"/>
      <c r="J277" s="49"/>
      <c r="K277" s="49"/>
    </row>
    <row r="278" spans="1:11" ht="27.75" customHeight="1">
      <c r="A278" s="29"/>
      <c r="B278" s="30"/>
      <c r="C278" s="32"/>
      <c r="D278" s="3" t="s">
        <v>30</v>
      </c>
      <c r="E278" s="3">
        <v>156</v>
      </c>
      <c r="F278" s="61">
        <f>156*1761.64</f>
        <v>274815.84</v>
      </c>
      <c r="G278" s="52"/>
      <c r="H278" s="52"/>
      <c r="I278" s="49"/>
      <c r="J278" s="49"/>
      <c r="K278" s="49"/>
    </row>
    <row r="279" spans="1:11" ht="27.75" customHeight="1">
      <c r="A279" s="29"/>
      <c r="B279" s="30"/>
      <c r="C279" s="32"/>
      <c r="D279" s="3" t="s">
        <v>29</v>
      </c>
      <c r="E279" s="3">
        <v>10</v>
      </c>
      <c r="F279" s="61">
        <f>10*4932</f>
        <v>49320</v>
      </c>
      <c r="G279" s="52"/>
      <c r="H279" s="52"/>
      <c r="I279" s="49"/>
      <c r="J279" s="49"/>
      <c r="K279" s="49"/>
    </row>
    <row r="280" spans="1:11" ht="27.75" customHeight="1">
      <c r="A280" s="29"/>
      <c r="B280" s="30"/>
      <c r="C280" s="32"/>
      <c r="D280" s="4" t="s">
        <v>33</v>
      </c>
      <c r="E280" s="4">
        <v>115</v>
      </c>
      <c r="F280" s="57">
        <f>115*873</f>
        <v>100395</v>
      </c>
      <c r="G280" s="52"/>
      <c r="H280" s="52"/>
      <c r="I280" s="49"/>
      <c r="J280" s="49"/>
      <c r="K280" s="49"/>
    </row>
    <row r="281" spans="1:11" ht="27.75" customHeight="1">
      <c r="A281" s="29"/>
      <c r="B281" s="30"/>
      <c r="C281" s="32"/>
      <c r="D281" s="4" t="s">
        <v>113</v>
      </c>
      <c r="E281" s="4"/>
      <c r="F281" s="58">
        <f>SUM(F277:F280)</f>
        <v>471720.84</v>
      </c>
      <c r="G281" s="52"/>
      <c r="H281" s="52">
        <f>F281</f>
        <v>471720.84</v>
      </c>
      <c r="I281" s="49"/>
      <c r="J281" s="49"/>
      <c r="K281" s="49"/>
    </row>
    <row r="282" spans="1:11" ht="27.75" customHeight="1">
      <c r="A282" s="29">
        <v>100</v>
      </c>
      <c r="B282" s="33" t="s">
        <v>273</v>
      </c>
      <c r="C282" s="32">
        <v>10735</v>
      </c>
      <c r="D282" s="4" t="s">
        <v>33</v>
      </c>
      <c r="E282" s="4">
        <v>85</v>
      </c>
      <c r="F282" s="57">
        <f>85*873</f>
        <v>74205</v>
      </c>
      <c r="G282" s="52"/>
      <c r="H282" s="52"/>
      <c r="I282" s="49"/>
      <c r="J282" s="49"/>
      <c r="K282" s="49"/>
    </row>
    <row r="283" spans="1:11" ht="31.5" customHeight="1">
      <c r="A283" s="29"/>
      <c r="B283" s="33"/>
      <c r="C283" s="32"/>
      <c r="D283" s="4" t="s">
        <v>48</v>
      </c>
      <c r="E283" s="4">
        <v>1</v>
      </c>
      <c r="F283" s="57">
        <v>25600</v>
      </c>
      <c r="G283" s="52"/>
      <c r="H283" s="52"/>
      <c r="I283" s="49"/>
      <c r="J283" s="49"/>
      <c r="K283" s="49"/>
    </row>
    <row r="284" spans="1:11" ht="27.75" customHeight="1">
      <c r="A284" s="29"/>
      <c r="B284" s="33"/>
      <c r="C284" s="32"/>
      <c r="D284" s="4" t="s">
        <v>86</v>
      </c>
      <c r="E284" s="4">
        <v>3</v>
      </c>
      <c r="F284" s="57">
        <f>3*2601</f>
        <v>7803</v>
      </c>
      <c r="G284" s="52"/>
      <c r="H284" s="52"/>
      <c r="I284" s="49"/>
      <c r="J284" s="49"/>
      <c r="K284" s="49"/>
    </row>
    <row r="285" spans="1:11" ht="27.75" customHeight="1">
      <c r="A285" s="29"/>
      <c r="B285" s="33"/>
      <c r="C285" s="32"/>
      <c r="D285" s="20" t="s">
        <v>32</v>
      </c>
      <c r="E285" s="20" t="s">
        <v>93</v>
      </c>
      <c r="F285" s="52">
        <f>3*2601+3*5000</f>
        <v>22803</v>
      </c>
      <c r="G285" s="49"/>
      <c r="H285" s="49"/>
      <c r="I285" s="49"/>
      <c r="J285" s="49"/>
      <c r="K285" s="49"/>
    </row>
    <row r="286" spans="1:11" ht="27.75" customHeight="1">
      <c r="A286" s="29"/>
      <c r="B286" s="33"/>
      <c r="C286" s="32"/>
      <c r="D286" s="20" t="s">
        <v>113</v>
      </c>
      <c r="E286" s="20"/>
      <c r="F286" s="63">
        <f>SUM(F282:F285)</f>
        <v>130411</v>
      </c>
      <c r="G286" s="49"/>
      <c r="H286" s="49">
        <f>F286</f>
        <v>130411</v>
      </c>
      <c r="I286" s="49"/>
      <c r="J286" s="49"/>
      <c r="K286" s="49"/>
    </row>
    <row r="287" spans="1:11" ht="27.75" customHeight="1">
      <c r="A287" s="15">
        <v>101</v>
      </c>
      <c r="B287" s="3" t="s">
        <v>143</v>
      </c>
      <c r="C287" s="22">
        <v>9408</v>
      </c>
      <c r="D287" s="3" t="s">
        <v>30</v>
      </c>
      <c r="E287" s="3"/>
      <c r="F287" s="56">
        <f>118.7*1761.64</f>
        <v>209106.668</v>
      </c>
      <c r="G287" s="52">
        <f>F287</f>
        <v>209106.668</v>
      </c>
      <c r="H287" s="52"/>
      <c r="I287" s="49"/>
      <c r="J287" s="49"/>
      <c r="K287" s="49"/>
    </row>
    <row r="288" spans="1:11" ht="31.5" customHeight="1">
      <c r="A288" s="29">
        <v>102</v>
      </c>
      <c r="B288" s="30" t="s">
        <v>219</v>
      </c>
      <c r="C288" s="32">
        <v>18405</v>
      </c>
      <c r="D288" s="3" t="s">
        <v>32</v>
      </c>
      <c r="E288" s="12" t="s">
        <v>164</v>
      </c>
      <c r="F288" s="61">
        <f>14*1854+14*7078+990*325</f>
        <v>446798</v>
      </c>
      <c r="G288" s="52"/>
      <c r="H288" s="52"/>
      <c r="I288" s="49"/>
      <c r="J288" s="49"/>
      <c r="K288" s="49"/>
    </row>
    <row r="289" spans="1:11" ht="27.75" customHeight="1">
      <c r="A289" s="29"/>
      <c r="B289" s="30"/>
      <c r="C289" s="32"/>
      <c r="D289" s="3" t="s">
        <v>161</v>
      </c>
      <c r="E289" s="12">
        <v>14</v>
      </c>
      <c r="F289" s="61">
        <f>14*15432</f>
        <v>216048</v>
      </c>
      <c r="G289" s="52"/>
      <c r="H289" s="52"/>
      <c r="I289" s="49"/>
      <c r="J289" s="49"/>
      <c r="K289" s="49"/>
    </row>
    <row r="290" spans="1:11" ht="27.75" customHeight="1">
      <c r="A290" s="29"/>
      <c r="B290" s="30"/>
      <c r="C290" s="32"/>
      <c r="D290" s="17" t="s">
        <v>30</v>
      </c>
      <c r="E290" s="12">
        <v>37.5</v>
      </c>
      <c r="F290" s="60">
        <f>37.5*1761.64</f>
        <v>66061.5</v>
      </c>
      <c r="G290" s="52"/>
      <c r="H290" s="52"/>
      <c r="I290" s="49"/>
      <c r="J290" s="49"/>
      <c r="K290" s="49"/>
    </row>
    <row r="291" spans="1:11" ht="27.75" customHeight="1">
      <c r="A291" s="29"/>
      <c r="B291" s="30"/>
      <c r="C291" s="32"/>
      <c r="D291" s="17" t="s">
        <v>113</v>
      </c>
      <c r="E291" s="12"/>
      <c r="F291" s="59">
        <f>SUM(F288:F290)</f>
        <v>728907.5</v>
      </c>
      <c r="G291" s="52">
        <f>F288</f>
        <v>446798</v>
      </c>
      <c r="H291" s="52"/>
      <c r="I291" s="49">
        <f>F289</f>
        <v>216048</v>
      </c>
      <c r="J291" s="49">
        <f>F290</f>
        <v>66061.5</v>
      </c>
      <c r="K291" s="49"/>
    </row>
    <row r="292" spans="1:11" ht="27.75" customHeight="1">
      <c r="A292" s="29">
        <v>103</v>
      </c>
      <c r="B292" s="33" t="s">
        <v>220</v>
      </c>
      <c r="C292" s="32">
        <v>3540</v>
      </c>
      <c r="D292" s="17" t="s">
        <v>32</v>
      </c>
      <c r="E292" s="12" t="s">
        <v>94</v>
      </c>
      <c r="F292" s="60">
        <f>3*56250</f>
        <v>168750</v>
      </c>
      <c r="G292" s="52"/>
      <c r="H292" s="52"/>
      <c r="I292" s="49"/>
      <c r="J292" s="49"/>
      <c r="K292" s="49"/>
    </row>
    <row r="293" spans="1:11" ht="27.75" customHeight="1">
      <c r="A293" s="29"/>
      <c r="B293" s="33"/>
      <c r="C293" s="32"/>
      <c r="D293" s="17" t="s">
        <v>161</v>
      </c>
      <c r="E293" s="12">
        <v>2</v>
      </c>
      <c r="F293" s="60">
        <f>2*15432</f>
        <v>30864</v>
      </c>
      <c r="G293" s="52"/>
      <c r="H293" s="52"/>
      <c r="I293" s="49"/>
      <c r="J293" s="49"/>
      <c r="K293" s="49"/>
    </row>
    <row r="294" spans="1:11" ht="27.75" customHeight="1">
      <c r="A294" s="29"/>
      <c r="B294" s="33"/>
      <c r="C294" s="32"/>
      <c r="D294" s="17" t="s">
        <v>30</v>
      </c>
      <c r="E294" s="12">
        <v>66.5</v>
      </c>
      <c r="F294" s="60">
        <f>66.5*1761.64</f>
        <v>117149.06000000001</v>
      </c>
      <c r="G294" s="49"/>
      <c r="H294" s="49"/>
      <c r="I294" s="49"/>
      <c r="J294" s="49"/>
      <c r="K294" s="49"/>
    </row>
    <row r="295" spans="1:11" ht="27.75" customHeight="1">
      <c r="A295" s="29"/>
      <c r="B295" s="33"/>
      <c r="C295" s="32"/>
      <c r="D295" s="17" t="s">
        <v>113</v>
      </c>
      <c r="E295" s="12"/>
      <c r="F295" s="59">
        <f>SUM(F292:F294)</f>
        <v>316763.06</v>
      </c>
      <c r="G295" s="49"/>
      <c r="H295" s="49">
        <f>F295</f>
        <v>316763.06</v>
      </c>
      <c r="I295" s="49">
        <f>F293</f>
        <v>30864</v>
      </c>
      <c r="J295" s="49"/>
      <c r="K295" s="49"/>
    </row>
    <row r="296" spans="1:11" ht="28.5" customHeight="1">
      <c r="A296" s="29">
        <v>104</v>
      </c>
      <c r="B296" s="33" t="s">
        <v>221</v>
      </c>
      <c r="C296" s="31">
        <v>4423</v>
      </c>
      <c r="D296" s="17" t="s">
        <v>30</v>
      </c>
      <c r="E296" s="12">
        <v>72.3</v>
      </c>
      <c r="F296" s="60">
        <f>72.3*1761.64</f>
        <v>127366.572</v>
      </c>
      <c r="G296" s="49"/>
      <c r="H296" s="49"/>
      <c r="I296" s="49"/>
      <c r="J296" s="49"/>
      <c r="K296" s="49"/>
    </row>
    <row r="297" spans="1:11" ht="28.5" customHeight="1">
      <c r="A297" s="29"/>
      <c r="B297" s="33"/>
      <c r="C297" s="31"/>
      <c r="D297" s="17" t="s">
        <v>161</v>
      </c>
      <c r="E297" s="12">
        <v>3</v>
      </c>
      <c r="F297" s="60">
        <f>3*15432</f>
        <v>46296</v>
      </c>
      <c r="G297" s="49"/>
      <c r="H297" s="49"/>
      <c r="I297" s="49"/>
      <c r="J297" s="49"/>
      <c r="K297" s="49"/>
    </row>
    <row r="298" spans="1:11" ht="28.5" customHeight="1">
      <c r="A298" s="29"/>
      <c r="B298" s="33"/>
      <c r="C298" s="31"/>
      <c r="D298" s="17" t="s">
        <v>113</v>
      </c>
      <c r="E298" s="12"/>
      <c r="F298" s="59">
        <f>SUM(F296:F297)</f>
        <v>173662.572</v>
      </c>
      <c r="G298" s="49"/>
      <c r="H298" s="49">
        <f>F296</f>
        <v>127366.572</v>
      </c>
      <c r="I298" s="49">
        <f>F297</f>
        <v>46296</v>
      </c>
      <c r="J298" s="49"/>
      <c r="K298" s="49"/>
    </row>
    <row r="299" spans="1:11" ht="30" customHeight="1">
      <c r="A299" s="29">
        <v>105</v>
      </c>
      <c r="B299" s="30" t="s">
        <v>222</v>
      </c>
      <c r="C299" s="31">
        <v>10356</v>
      </c>
      <c r="D299" s="17" t="s">
        <v>33</v>
      </c>
      <c r="E299" s="12">
        <v>35</v>
      </c>
      <c r="F299" s="60">
        <f>35*873</f>
        <v>30555</v>
      </c>
      <c r="G299" s="49"/>
      <c r="H299" s="49"/>
      <c r="I299" s="49"/>
      <c r="J299" s="49"/>
      <c r="K299" s="49"/>
    </row>
    <row r="300" spans="1:11" ht="21.75" customHeight="1">
      <c r="A300" s="29"/>
      <c r="B300" s="30"/>
      <c r="C300" s="31"/>
      <c r="D300" s="17" t="s">
        <v>32</v>
      </c>
      <c r="E300" s="3" t="s">
        <v>95</v>
      </c>
      <c r="F300" s="61">
        <f>3*7078</f>
        <v>21234</v>
      </c>
      <c r="G300" s="52"/>
      <c r="H300" s="52"/>
      <c r="I300" s="49"/>
      <c r="J300" s="49"/>
      <c r="K300" s="49"/>
    </row>
    <row r="301" spans="1:11" ht="30" customHeight="1">
      <c r="A301" s="29"/>
      <c r="B301" s="30"/>
      <c r="C301" s="31"/>
      <c r="D301" s="17" t="s">
        <v>113</v>
      </c>
      <c r="E301" s="3"/>
      <c r="F301" s="56">
        <f>SUM(F299:F300)</f>
        <v>51789</v>
      </c>
      <c r="G301" s="52">
        <f>F301</f>
        <v>51789</v>
      </c>
      <c r="H301" s="52"/>
      <c r="I301" s="49"/>
      <c r="J301" s="49"/>
      <c r="K301" s="49"/>
    </row>
    <row r="302" spans="1:11" ht="30" customHeight="1">
      <c r="A302" s="29">
        <v>106</v>
      </c>
      <c r="B302" s="30" t="s">
        <v>223</v>
      </c>
      <c r="C302" s="31">
        <v>3432</v>
      </c>
      <c r="D302" s="17" t="s">
        <v>33</v>
      </c>
      <c r="E302" s="3">
        <v>30</v>
      </c>
      <c r="F302" s="61">
        <f>30*873</f>
        <v>26190</v>
      </c>
      <c r="G302" s="52"/>
      <c r="H302" s="52"/>
      <c r="I302" s="49"/>
      <c r="J302" s="49"/>
      <c r="K302" s="49"/>
    </row>
    <row r="303" spans="1:11" ht="30" customHeight="1">
      <c r="A303" s="29"/>
      <c r="B303" s="30"/>
      <c r="C303" s="31"/>
      <c r="D303" s="17" t="s">
        <v>32</v>
      </c>
      <c r="E303" s="3" t="s">
        <v>52</v>
      </c>
      <c r="F303" s="61">
        <v>104650</v>
      </c>
      <c r="G303" s="52"/>
      <c r="H303" s="52"/>
      <c r="I303" s="49"/>
      <c r="J303" s="49"/>
      <c r="K303" s="49"/>
    </row>
    <row r="304" spans="1:11" ht="30" customHeight="1">
      <c r="A304" s="29"/>
      <c r="B304" s="30"/>
      <c r="C304" s="31"/>
      <c r="D304" s="17" t="s">
        <v>113</v>
      </c>
      <c r="E304" s="3"/>
      <c r="F304" s="56">
        <f>SUM(F302:F303)</f>
        <v>130840</v>
      </c>
      <c r="G304" s="52">
        <f>F304</f>
        <v>130840</v>
      </c>
      <c r="H304" s="52"/>
      <c r="I304" s="49"/>
      <c r="J304" s="49"/>
      <c r="K304" s="49"/>
    </row>
    <row r="305" spans="1:11" ht="30" customHeight="1">
      <c r="A305" s="29">
        <v>107</v>
      </c>
      <c r="B305" s="33" t="s">
        <v>224</v>
      </c>
      <c r="C305" s="31">
        <v>14932</v>
      </c>
      <c r="D305" s="17" t="s">
        <v>86</v>
      </c>
      <c r="E305" s="3">
        <v>7</v>
      </c>
      <c r="F305" s="61">
        <f>7*2601</f>
        <v>18207</v>
      </c>
      <c r="G305" s="52"/>
      <c r="H305" s="52"/>
      <c r="I305" s="49"/>
      <c r="J305" s="49"/>
      <c r="K305" s="49"/>
    </row>
    <row r="306" spans="1:11" ht="30" customHeight="1">
      <c r="A306" s="29"/>
      <c r="B306" s="33"/>
      <c r="C306" s="31"/>
      <c r="D306" s="17" t="s">
        <v>32</v>
      </c>
      <c r="E306" s="18" t="s">
        <v>96</v>
      </c>
      <c r="F306" s="49">
        <f>463275</f>
        <v>463275</v>
      </c>
      <c r="G306" s="49"/>
      <c r="H306" s="49"/>
      <c r="I306" s="49"/>
      <c r="J306" s="49"/>
      <c r="K306" s="49"/>
    </row>
    <row r="307" spans="1:11" ht="30" customHeight="1">
      <c r="A307" s="29"/>
      <c r="B307" s="33"/>
      <c r="C307" s="31"/>
      <c r="D307" s="17" t="s">
        <v>113</v>
      </c>
      <c r="E307" s="18"/>
      <c r="F307" s="50">
        <f>SUM(F305:F306)</f>
        <v>481482</v>
      </c>
      <c r="G307" s="49">
        <f>F307</f>
        <v>481482</v>
      </c>
      <c r="H307" s="49"/>
      <c r="I307" s="49"/>
      <c r="J307" s="49"/>
      <c r="K307" s="49"/>
    </row>
    <row r="308" spans="1:11" ht="30.75" customHeight="1">
      <c r="A308" s="15">
        <v>108</v>
      </c>
      <c r="B308" s="12" t="s">
        <v>225</v>
      </c>
      <c r="C308" s="21">
        <v>13322</v>
      </c>
      <c r="D308" s="17" t="s">
        <v>32</v>
      </c>
      <c r="E308" s="18" t="s">
        <v>22</v>
      </c>
      <c r="F308" s="50">
        <f>1854+3*56250+55000</f>
        <v>225604</v>
      </c>
      <c r="G308" s="49"/>
      <c r="H308" s="49">
        <f>F308</f>
        <v>225604</v>
      </c>
      <c r="I308" s="49"/>
      <c r="J308" s="49"/>
      <c r="K308" s="49"/>
    </row>
    <row r="309" spans="1:11" ht="27.75" customHeight="1">
      <c r="A309" s="29">
        <v>109</v>
      </c>
      <c r="B309" s="30" t="s">
        <v>226</v>
      </c>
      <c r="C309" s="31">
        <v>4250</v>
      </c>
      <c r="D309" s="17" t="s">
        <v>33</v>
      </c>
      <c r="E309" s="18">
        <v>45</v>
      </c>
      <c r="F309" s="49">
        <f>45*873</f>
        <v>39285</v>
      </c>
      <c r="G309" s="49"/>
      <c r="H309" s="49"/>
      <c r="I309" s="49"/>
      <c r="J309" s="49"/>
      <c r="K309" s="49"/>
    </row>
    <row r="310" spans="1:11" ht="27.75" customHeight="1">
      <c r="A310" s="29"/>
      <c r="B310" s="30"/>
      <c r="C310" s="31"/>
      <c r="D310" s="17" t="s">
        <v>32</v>
      </c>
      <c r="E310" s="3" t="s">
        <v>97</v>
      </c>
      <c r="F310" s="61">
        <f>10*5000</f>
        <v>50000</v>
      </c>
      <c r="G310" s="52"/>
      <c r="H310" s="52"/>
      <c r="I310" s="49"/>
      <c r="J310" s="49"/>
      <c r="K310" s="49"/>
    </row>
    <row r="311" spans="1:11" ht="27.75" customHeight="1">
      <c r="A311" s="29"/>
      <c r="B311" s="30"/>
      <c r="C311" s="31"/>
      <c r="D311" s="17" t="s">
        <v>113</v>
      </c>
      <c r="E311" s="3"/>
      <c r="F311" s="56">
        <f>SUM(F309:F310)</f>
        <v>89285</v>
      </c>
      <c r="G311" s="52">
        <f>F311</f>
        <v>89285</v>
      </c>
      <c r="H311" s="52"/>
      <c r="I311" s="49"/>
      <c r="J311" s="49"/>
      <c r="K311" s="49"/>
    </row>
    <row r="312" spans="1:11" ht="27.75" customHeight="1">
      <c r="A312" s="15">
        <v>110</v>
      </c>
      <c r="B312" s="12" t="s">
        <v>227</v>
      </c>
      <c r="C312" s="21">
        <v>2010</v>
      </c>
      <c r="D312" s="12" t="s">
        <v>98</v>
      </c>
      <c r="E312" s="12">
        <v>35</v>
      </c>
      <c r="F312" s="59">
        <f>35*1764.61</f>
        <v>61761.35</v>
      </c>
      <c r="G312" s="49">
        <f>F312</f>
        <v>61761.35</v>
      </c>
      <c r="H312" s="49"/>
      <c r="I312" s="49"/>
      <c r="J312" s="49"/>
      <c r="K312" s="49"/>
    </row>
    <row r="313" spans="1:11" ht="27.75" customHeight="1">
      <c r="A313" s="15">
        <v>111</v>
      </c>
      <c r="B313" s="12" t="s">
        <v>144</v>
      </c>
      <c r="C313" s="21">
        <v>2902</v>
      </c>
      <c r="D313" s="17" t="s">
        <v>33</v>
      </c>
      <c r="E313" s="18">
        <v>25</v>
      </c>
      <c r="F313" s="50">
        <f>25*873</f>
        <v>21825</v>
      </c>
      <c r="G313" s="49">
        <f>F313</f>
        <v>21825</v>
      </c>
      <c r="H313" s="49"/>
      <c r="I313" s="49"/>
      <c r="J313" s="49"/>
      <c r="K313" s="49"/>
    </row>
    <row r="314" spans="1:11" ht="27.75" customHeight="1">
      <c r="A314" s="29">
        <v>112</v>
      </c>
      <c r="B314" s="33" t="s">
        <v>228</v>
      </c>
      <c r="C314" s="31">
        <v>8992</v>
      </c>
      <c r="D314" s="17" t="s">
        <v>86</v>
      </c>
      <c r="E314" s="18">
        <v>5</v>
      </c>
      <c r="F314" s="49">
        <f>5*2601</f>
        <v>13005</v>
      </c>
      <c r="G314" s="49"/>
      <c r="H314" s="49"/>
      <c r="I314" s="49"/>
      <c r="J314" s="49"/>
      <c r="K314" s="49"/>
    </row>
    <row r="315" spans="1:11" ht="27.75" customHeight="1">
      <c r="A315" s="29"/>
      <c r="B315" s="33"/>
      <c r="C315" s="31"/>
      <c r="D315" s="18" t="s">
        <v>99</v>
      </c>
      <c r="E315" s="18">
        <v>5</v>
      </c>
      <c r="F315" s="49">
        <f>5*1275</f>
        <v>6375</v>
      </c>
      <c r="G315" s="49"/>
      <c r="H315" s="49"/>
      <c r="I315" s="49"/>
      <c r="J315" s="49"/>
      <c r="K315" s="49"/>
    </row>
    <row r="316" spans="1:11" ht="27.75" customHeight="1">
      <c r="A316" s="29"/>
      <c r="B316" s="33"/>
      <c r="C316" s="31"/>
      <c r="D316" s="18" t="s">
        <v>113</v>
      </c>
      <c r="E316" s="18"/>
      <c r="F316" s="50">
        <f>SUM(F314:F315)</f>
        <v>19380</v>
      </c>
      <c r="G316" s="49"/>
      <c r="H316" s="49"/>
      <c r="I316" s="49"/>
      <c r="J316" s="49"/>
      <c r="K316" s="49"/>
    </row>
    <row r="317" spans="1:11" ht="23.25" customHeight="1">
      <c r="A317" s="29">
        <v>113</v>
      </c>
      <c r="B317" s="33" t="s">
        <v>229</v>
      </c>
      <c r="C317" s="31">
        <v>3870</v>
      </c>
      <c r="D317" s="18" t="s">
        <v>33</v>
      </c>
      <c r="E317" s="18">
        <v>58</v>
      </c>
      <c r="F317" s="49">
        <f>58*873</f>
        <v>50634</v>
      </c>
      <c r="G317" s="49"/>
      <c r="H317" s="49"/>
      <c r="I317" s="49"/>
      <c r="J317" s="49"/>
      <c r="K317" s="49"/>
    </row>
    <row r="318" spans="1:11" ht="23.25" customHeight="1">
      <c r="A318" s="29"/>
      <c r="B318" s="33"/>
      <c r="C318" s="31"/>
      <c r="D318" s="18" t="s">
        <v>32</v>
      </c>
      <c r="E318" s="18" t="s">
        <v>96</v>
      </c>
      <c r="F318" s="49">
        <f>104650</f>
        <v>104650</v>
      </c>
      <c r="G318" s="49"/>
      <c r="H318" s="49"/>
      <c r="I318" s="49"/>
      <c r="J318" s="49"/>
      <c r="K318" s="49"/>
    </row>
    <row r="319" spans="1:11" ht="22.5" customHeight="1">
      <c r="A319" s="29"/>
      <c r="B319" s="33"/>
      <c r="C319" s="31"/>
      <c r="D319" s="18" t="s">
        <v>113</v>
      </c>
      <c r="E319" s="18"/>
      <c r="F319" s="50">
        <f>SUM(F317:F318)</f>
        <v>155284</v>
      </c>
      <c r="G319" s="49">
        <f>F319</f>
        <v>155284</v>
      </c>
      <c r="H319" s="49"/>
      <c r="I319" s="49"/>
      <c r="J319" s="49"/>
      <c r="K319" s="49"/>
    </row>
    <row r="320" spans="1:11" ht="24" customHeight="1">
      <c r="A320" s="29">
        <v>114</v>
      </c>
      <c r="B320" s="33" t="s">
        <v>230</v>
      </c>
      <c r="C320" s="31">
        <v>5161</v>
      </c>
      <c r="D320" s="18" t="s">
        <v>30</v>
      </c>
      <c r="E320" s="18">
        <v>116</v>
      </c>
      <c r="F320" s="49">
        <f>116*1761.64</f>
        <v>204350.24000000002</v>
      </c>
      <c r="G320" s="49"/>
      <c r="H320" s="49"/>
      <c r="I320" s="49"/>
      <c r="J320" s="49"/>
      <c r="K320" s="49"/>
    </row>
    <row r="321" spans="1:11" ht="21.75" customHeight="1">
      <c r="A321" s="29"/>
      <c r="B321" s="33"/>
      <c r="C321" s="31"/>
      <c r="D321" s="18" t="s">
        <v>145</v>
      </c>
      <c r="E321" s="18">
        <v>5</v>
      </c>
      <c r="F321" s="49">
        <f>5*1275</f>
        <v>6375</v>
      </c>
      <c r="G321" s="49"/>
      <c r="H321" s="49"/>
      <c r="I321" s="49"/>
      <c r="J321" s="49"/>
      <c r="K321" s="49"/>
    </row>
    <row r="322" spans="1:11" ht="20.25" customHeight="1">
      <c r="A322" s="29"/>
      <c r="B322" s="33"/>
      <c r="C322" s="31"/>
      <c r="D322" s="18" t="s">
        <v>113</v>
      </c>
      <c r="E322" s="18"/>
      <c r="F322" s="50">
        <f>SUM(F320:F321)</f>
        <v>210725.24000000002</v>
      </c>
      <c r="G322" s="49"/>
      <c r="H322" s="49">
        <f>F322</f>
        <v>210725.24000000002</v>
      </c>
      <c r="I322" s="49"/>
      <c r="J322" s="49"/>
      <c r="K322" s="49"/>
    </row>
    <row r="323" spans="1:11" ht="25.5" customHeight="1">
      <c r="A323" s="15">
        <v>115</v>
      </c>
      <c r="B323" s="3" t="s">
        <v>275</v>
      </c>
      <c r="C323" s="22">
        <v>4811</v>
      </c>
      <c r="D323" s="3" t="s">
        <v>29</v>
      </c>
      <c r="E323" s="3">
        <v>12</v>
      </c>
      <c r="F323" s="56">
        <f>12*4932</f>
        <v>59184</v>
      </c>
      <c r="G323" s="52">
        <f>F323</f>
        <v>59184</v>
      </c>
      <c r="H323" s="49"/>
      <c r="I323" s="49"/>
      <c r="J323" s="49"/>
      <c r="K323" s="49"/>
    </row>
    <row r="324" spans="1:11" ht="51" customHeight="1">
      <c r="A324" s="29">
        <v>116</v>
      </c>
      <c r="B324" s="33" t="s">
        <v>276</v>
      </c>
      <c r="C324" s="32">
        <v>12302</v>
      </c>
      <c r="D324" s="3" t="s">
        <v>32</v>
      </c>
      <c r="E324" s="18" t="s">
        <v>101</v>
      </c>
      <c r="F324" s="61">
        <f>22375+35000+60840+44500+104650+15410</f>
        <v>282775</v>
      </c>
      <c r="G324" s="52"/>
      <c r="H324" s="49"/>
      <c r="I324" s="49"/>
      <c r="J324" s="49"/>
      <c r="K324" s="49"/>
    </row>
    <row r="325" spans="1:11" ht="21.75" customHeight="1">
      <c r="A325" s="29"/>
      <c r="B325" s="33"/>
      <c r="C325" s="32"/>
      <c r="D325" s="3" t="s">
        <v>161</v>
      </c>
      <c r="E325" s="18">
        <v>2</v>
      </c>
      <c r="F325" s="61">
        <f>2*15432</f>
        <v>30864</v>
      </c>
      <c r="G325" s="52"/>
      <c r="H325" s="49"/>
      <c r="I325" s="49"/>
      <c r="J325" s="49"/>
      <c r="K325" s="49"/>
    </row>
    <row r="326" spans="1:11" ht="19.5" customHeight="1">
      <c r="A326" s="29"/>
      <c r="B326" s="33"/>
      <c r="C326" s="32"/>
      <c r="D326" s="17" t="s">
        <v>100</v>
      </c>
      <c r="E326" s="18">
        <v>5</v>
      </c>
      <c r="F326" s="49">
        <f>5*1275</f>
        <v>6375</v>
      </c>
      <c r="G326" s="49"/>
      <c r="H326" s="49"/>
      <c r="I326" s="49"/>
      <c r="J326" s="49"/>
      <c r="K326" s="49"/>
    </row>
    <row r="327" spans="1:11" ht="24" customHeight="1">
      <c r="A327" s="29"/>
      <c r="B327" s="33"/>
      <c r="C327" s="32"/>
      <c r="D327" s="17" t="s">
        <v>113</v>
      </c>
      <c r="E327" s="18"/>
      <c r="F327" s="50">
        <f>SUM(F324:F326)</f>
        <v>320014</v>
      </c>
      <c r="G327" s="49">
        <f>F327-F325</f>
        <v>289150</v>
      </c>
      <c r="H327" s="49"/>
      <c r="I327" s="49">
        <f>F325</f>
        <v>30864</v>
      </c>
      <c r="J327" s="49"/>
      <c r="K327" s="49"/>
    </row>
    <row r="328" spans="1:11" ht="21" customHeight="1">
      <c r="A328" s="29">
        <v>117</v>
      </c>
      <c r="B328" s="33" t="s">
        <v>231</v>
      </c>
      <c r="C328" s="32">
        <v>5502</v>
      </c>
      <c r="D328" s="17" t="s">
        <v>33</v>
      </c>
      <c r="E328" s="18">
        <v>15</v>
      </c>
      <c r="F328" s="49">
        <f>873*15</f>
        <v>13095</v>
      </c>
      <c r="G328" s="49"/>
      <c r="H328" s="49"/>
      <c r="I328" s="49"/>
      <c r="J328" s="49"/>
      <c r="K328" s="49"/>
    </row>
    <row r="329" spans="1:11" ht="21.75" customHeight="1">
      <c r="A329" s="29"/>
      <c r="B329" s="33"/>
      <c r="C329" s="32"/>
      <c r="D329" s="17" t="s">
        <v>161</v>
      </c>
      <c r="E329" s="18">
        <v>4</v>
      </c>
      <c r="F329" s="49">
        <f>4*15432</f>
        <v>61728</v>
      </c>
      <c r="G329" s="49"/>
      <c r="H329" s="49"/>
      <c r="I329" s="49"/>
      <c r="J329" s="49"/>
      <c r="K329" s="49"/>
    </row>
    <row r="330" spans="1:11" ht="22.5" customHeight="1">
      <c r="A330" s="29"/>
      <c r="B330" s="33"/>
      <c r="C330" s="32"/>
      <c r="D330" s="18" t="s">
        <v>26</v>
      </c>
      <c r="E330" s="18">
        <v>400</v>
      </c>
      <c r="F330" s="49">
        <f>400*500.96</f>
        <v>200384</v>
      </c>
      <c r="G330" s="49"/>
      <c r="H330" s="49"/>
      <c r="I330" s="49"/>
      <c r="J330" s="49"/>
      <c r="K330" s="49"/>
    </row>
    <row r="331" spans="1:11" ht="21.75" customHeight="1">
      <c r="A331" s="29"/>
      <c r="B331" s="33"/>
      <c r="C331" s="32"/>
      <c r="D331" s="18" t="s">
        <v>113</v>
      </c>
      <c r="E331" s="18"/>
      <c r="F331" s="50">
        <f>SUM(F328:F330)</f>
        <v>275207</v>
      </c>
      <c r="G331" s="49">
        <f>F331-F329</f>
        <v>213479</v>
      </c>
      <c r="H331" s="49"/>
      <c r="I331" s="49">
        <f>F329</f>
        <v>61728</v>
      </c>
      <c r="J331" s="49"/>
      <c r="K331" s="49"/>
    </row>
    <row r="332" spans="1:11" ht="24" customHeight="1">
      <c r="A332" s="29">
        <v>118</v>
      </c>
      <c r="B332" s="33" t="s">
        <v>232</v>
      </c>
      <c r="C332" s="32">
        <v>5910</v>
      </c>
      <c r="D332" s="18" t="s">
        <v>102</v>
      </c>
      <c r="E332" s="18">
        <v>36</v>
      </c>
      <c r="F332" s="49">
        <f>36*1100</f>
        <v>39600</v>
      </c>
      <c r="G332" s="49"/>
      <c r="H332" s="49"/>
      <c r="I332" s="49"/>
      <c r="J332" s="49"/>
      <c r="K332" s="49"/>
    </row>
    <row r="333" spans="1:11" ht="24.75" customHeight="1">
      <c r="A333" s="29"/>
      <c r="B333" s="33"/>
      <c r="C333" s="32"/>
      <c r="D333" s="18" t="s">
        <v>32</v>
      </c>
      <c r="E333" s="18" t="s">
        <v>103</v>
      </c>
      <c r="F333" s="49">
        <v>15000</v>
      </c>
      <c r="G333" s="49"/>
      <c r="H333" s="49"/>
      <c r="I333" s="49"/>
      <c r="J333" s="49"/>
      <c r="K333" s="49"/>
    </row>
    <row r="334" spans="1:11" ht="21.75" customHeight="1">
      <c r="A334" s="29"/>
      <c r="B334" s="33"/>
      <c r="C334" s="32"/>
      <c r="D334" s="18" t="s">
        <v>113</v>
      </c>
      <c r="E334" s="18"/>
      <c r="F334" s="50">
        <f>SUM(F332:F333)</f>
        <v>54600</v>
      </c>
      <c r="G334" s="49">
        <f>F334</f>
        <v>54600</v>
      </c>
      <c r="H334" s="49"/>
      <c r="I334" s="49"/>
      <c r="J334" s="49"/>
      <c r="K334" s="49"/>
    </row>
    <row r="335" spans="1:11" ht="23.25" customHeight="1">
      <c r="A335" s="29">
        <v>119</v>
      </c>
      <c r="B335" s="33" t="s">
        <v>277</v>
      </c>
      <c r="C335" s="32">
        <v>13636</v>
      </c>
      <c r="D335" s="18" t="s">
        <v>104</v>
      </c>
      <c r="E335" s="18">
        <v>125</v>
      </c>
      <c r="F335" s="49">
        <f>125*1761.64</f>
        <v>220205</v>
      </c>
      <c r="G335" s="49"/>
      <c r="H335" s="49"/>
      <c r="I335" s="49"/>
      <c r="J335" s="49"/>
      <c r="K335" s="49"/>
    </row>
    <row r="336" spans="1:11" ht="63" customHeight="1">
      <c r="A336" s="29"/>
      <c r="B336" s="33"/>
      <c r="C336" s="32"/>
      <c r="D336" s="17" t="s">
        <v>32</v>
      </c>
      <c r="E336" s="18" t="s">
        <v>105</v>
      </c>
      <c r="F336" s="49">
        <f>143750+28750+22375+7078</f>
        <v>201953</v>
      </c>
      <c r="G336" s="49"/>
      <c r="H336" s="49"/>
      <c r="I336" s="49"/>
      <c r="J336" s="49"/>
      <c r="K336" s="49"/>
    </row>
    <row r="337" spans="1:11" ht="24" customHeight="1">
      <c r="A337" s="29"/>
      <c r="B337" s="33"/>
      <c r="C337" s="32"/>
      <c r="D337" s="17" t="s">
        <v>113</v>
      </c>
      <c r="E337" s="18"/>
      <c r="F337" s="50">
        <f>SUM(F335:F336)</f>
        <v>422158</v>
      </c>
      <c r="G337" s="49"/>
      <c r="H337" s="49"/>
      <c r="I337" s="49">
        <f>F337</f>
        <v>422158</v>
      </c>
      <c r="J337" s="49"/>
      <c r="K337" s="49"/>
    </row>
    <row r="338" spans="1:11" ht="30" customHeight="1">
      <c r="A338" s="15">
        <v>120</v>
      </c>
      <c r="B338" s="12" t="s">
        <v>233</v>
      </c>
      <c r="C338" s="21">
        <v>1750</v>
      </c>
      <c r="D338" s="17" t="s">
        <v>32</v>
      </c>
      <c r="E338" s="18" t="s">
        <v>146</v>
      </c>
      <c r="F338" s="50">
        <f>98075</f>
        <v>98075</v>
      </c>
      <c r="G338" s="49"/>
      <c r="H338" s="49">
        <f>F338</f>
        <v>98075</v>
      </c>
      <c r="I338" s="49"/>
      <c r="J338" s="49"/>
      <c r="K338" s="49"/>
    </row>
    <row r="339" spans="1:11" ht="98.25" customHeight="1">
      <c r="A339" s="15">
        <v>121</v>
      </c>
      <c r="B339" s="3" t="s">
        <v>234</v>
      </c>
      <c r="C339" s="22">
        <v>9187</v>
      </c>
      <c r="D339" s="17"/>
      <c r="E339" s="4" t="s">
        <v>7</v>
      </c>
      <c r="F339" s="58">
        <f>28750+28750+46875+11810*2+174036+164175+41832+66325</f>
        <v>574363</v>
      </c>
      <c r="G339" s="52"/>
      <c r="H339" s="52">
        <f>F339</f>
        <v>574363</v>
      </c>
      <c r="I339" s="49"/>
      <c r="J339" s="49"/>
      <c r="K339" s="49"/>
    </row>
    <row r="340" spans="1:11" ht="26.25" customHeight="1">
      <c r="A340" s="29">
        <v>122</v>
      </c>
      <c r="B340" s="30" t="s">
        <v>235</v>
      </c>
      <c r="C340" s="32">
        <v>8271</v>
      </c>
      <c r="D340" s="4" t="s">
        <v>29</v>
      </c>
      <c r="E340" s="4">
        <v>12</v>
      </c>
      <c r="F340" s="57">
        <f>12*4932</f>
        <v>59184</v>
      </c>
      <c r="G340" s="52"/>
      <c r="H340" s="52"/>
      <c r="I340" s="49"/>
      <c r="J340" s="49"/>
      <c r="K340" s="49"/>
    </row>
    <row r="341" spans="1:11" ht="21" customHeight="1">
      <c r="A341" s="29"/>
      <c r="B341" s="30"/>
      <c r="C341" s="32"/>
      <c r="D341" s="4" t="s">
        <v>32</v>
      </c>
      <c r="E341" s="4" t="s">
        <v>165</v>
      </c>
      <c r="F341" s="57">
        <v>346937.5</v>
      </c>
      <c r="G341" s="52"/>
      <c r="H341" s="52"/>
      <c r="I341" s="49"/>
      <c r="J341" s="49"/>
      <c r="K341" s="49"/>
    </row>
    <row r="342" spans="1:11" ht="24.75" customHeight="1">
      <c r="A342" s="29"/>
      <c r="B342" s="30"/>
      <c r="C342" s="32"/>
      <c r="D342" s="3" t="s">
        <v>33</v>
      </c>
      <c r="E342" s="3">
        <v>125</v>
      </c>
      <c r="F342" s="61">
        <f>125*873</f>
        <v>109125</v>
      </c>
      <c r="G342" s="52"/>
      <c r="H342" s="49"/>
      <c r="I342" s="49"/>
      <c r="J342" s="49"/>
      <c r="K342" s="49"/>
    </row>
    <row r="343" spans="1:11" ht="23.25" customHeight="1">
      <c r="A343" s="29"/>
      <c r="B343" s="30"/>
      <c r="C343" s="32"/>
      <c r="D343" s="3" t="s">
        <v>113</v>
      </c>
      <c r="E343" s="3"/>
      <c r="F343" s="56">
        <f>SUM(F340:F342)</f>
        <v>515246.5</v>
      </c>
      <c r="G343" s="52">
        <f>F343</f>
        <v>515246.5</v>
      </c>
      <c r="H343" s="49"/>
      <c r="I343" s="49"/>
      <c r="J343" s="49"/>
      <c r="K343" s="49"/>
    </row>
    <row r="344" spans="1:11" ht="46.5" customHeight="1">
      <c r="A344" s="29">
        <v>123</v>
      </c>
      <c r="B344" s="33" t="s">
        <v>236</v>
      </c>
      <c r="C344" s="32">
        <v>4150</v>
      </c>
      <c r="D344" s="3" t="s">
        <v>32</v>
      </c>
      <c r="E344" s="18" t="s">
        <v>107</v>
      </c>
      <c r="F344" s="61">
        <f>990*325+76*1188+40000+3*56250</f>
        <v>620788</v>
      </c>
      <c r="G344" s="52"/>
      <c r="H344" s="49"/>
      <c r="I344" s="49"/>
      <c r="J344" s="49"/>
      <c r="K344" s="49"/>
    </row>
    <row r="345" spans="1:11" ht="24" customHeight="1">
      <c r="A345" s="29"/>
      <c r="B345" s="33"/>
      <c r="C345" s="32"/>
      <c r="D345" s="17" t="s">
        <v>106</v>
      </c>
      <c r="E345" s="18">
        <v>200</v>
      </c>
      <c r="F345" s="49">
        <f>200*500.96</f>
        <v>100192</v>
      </c>
      <c r="G345" s="49"/>
      <c r="H345" s="49"/>
      <c r="I345" s="49"/>
      <c r="J345" s="49"/>
      <c r="K345" s="49"/>
    </row>
    <row r="346" spans="1:11" ht="24.75" customHeight="1">
      <c r="A346" s="29"/>
      <c r="B346" s="33"/>
      <c r="C346" s="32"/>
      <c r="D346" s="17" t="s">
        <v>113</v>
      </c>
      <c r="E346" s="18"/>
      <c r="F346" s="50">
        <f>SUM(F344:F345)</f>
        <v>720980</v>
      </c>
      <c r="G346" s="49">
        <f>F346</f>
        <v>720980</v>
      </c>
      <c r="H346" s="49"/>
      <c r="I346" s="49"/>
      <c r="J346" s="49"/>
      <c r="K346" s="49"/>
    </row>
    <row r="347" spans="1:11" ht="25.5" customHeight="1">
      <c r="A347" s="29">
        <v>124</v>
      </c>
      <c r="B347" s="33" t="s">
        <v>278</v>
      </c>
      <c r="C347" s="32">
        <v>3461</v>
      </c>
      <c r="D347" s="17" t="s">
        <v>26</v>
      </c>
      <c r="E347" s="18">
        <v>200</v>
      </c>
      <c r="F347" s="49">
        <f>200*500.96</f>
        <v>100192</v>
      </c>
      <c r="G347" s="49"/>
      <c r="H347" s="49"/>
      <c r="I347" s="49"/>
      <c r="J347" s="49"/>
      <c r="K347" s="49"/>
    </row>
    <row r="348" spans="1:11" ht="30" customHeight="1">
      <c r="A348" s="29"/>
      <c r="B348" s="33"/>
      <c r="C348" s="32"/>
      <c r="D348" s="17" t="s">
        <v>32</v>
      </c>
      <c r="E348" s="18" t="s">
        <v>108</v>
      </c>
      <c r="F348" s="49">
        <f>887862.5+158425</f>
        <v>1046287.5</v>
      </c>
      <c r="G348" s="49"/>
      <c r="H348" s="49"/>
      <c r="I348" s="49"/>
      <c r="J348" s="49"/>
      <c r="K348" s="49"/>
    </row>
    <row r="349" spans="1:11" ht="23.25" customHeight="1">
      <c r="A349" s="29"/>
      <c r="B349" s="33"/>
      <c r="C349" s="32"/>
      <c r="D349" s="17" t="s">
        <v>113</v>
      </c>
      <c r="E349" s="18"/>
      <c r="F349" s="50">
        <f>SUM(F347:F348)</f>
        <v>1146479.5</v>
      </c>
      <c r="G349" s="49"/>
      <c r="H349" s="49">
        <f>F349</f>
        <v>1146479.5</v>
      </c>
      <c r="I349" s="49"/>
      <c r="J349" s="49"/>
      <c r="K349" s="49"/>
    </row>
    <row r="350" spans="1:11" ht="30" customHeight="1">
      <c r="A350" s="15">
        <v>125</v>
      </c>
      <c r="B350" s="12" t="s">
        <v>279</v>
      </c>
      <c r="C350" s="21">
        <v>16328</v>
      </c>
      <c r="D350" s="17" t="s">
        <v>32</v>
      </c>
      <c r="E350" s="18" t="s">
        <v>20</v>
      </c>
      <c r="F350" s="50">
        <v>1233375</v>
      </c>
      <c r="G350" s="49"/>
      <c r="H350" s="49"/>
      <c r="I350" s="49">
        <f>F350</f>
        <v>1233375</v>
      </c>
      <c r="J350" s="49"/>
      <c r="K350" s="49"/>
    </row>
    <row r="351" spans="1:11" ht="30" customHeight="1">
      <c r="A351" s="15">
        <v>126</v>
      </c>
      <c r="B351" s="12" t="s">
        <v>280</v>
      </c>
      <c r="C351" s="21">
        <v>16669</v>
      </c>
      <c r="D351" s="17" t="s">
        <v>32</v>
      </c>
      <c r="E351" s="18" t="s">
        <v>21</v>
      </c>
      <c r="F351" s="50">
        <v>1153525</v>
      </c>
      <c r="G351" s="49"/>
      <c r="H351" s="49"/>
      <c r="I351" s="49"/>
      <c r="J351" s="49">
        <f>F351</f>
        <v>1153525</v>
      </c>
      <c r="K351" s="49"/>
    </row>
    <row r="352" spans="1:11" ht="30" customHeight="1">
      <c r="A352" s="15">
        <v>127</v>
      </c>
      <c r="B352" s="12" t="s">
        <v>237</v>
      </c>
      <c r="C352" s="21">
        <v>3301</v>
      </c>
      <c r="D352" s="18" t="s">
        <v>109</v>
      </c>
      <c r="E352" s="18">
        <v>200</v>
      </c>
      <c r="F352" s="50">
        <f>200*500.96</f>
        <v>100192</v>
      </c>
      <c r="G352" s="49"/>
      <c r="H352" s="49"/>
      <c r="I352" s="49"/>
      <c r="J352" s="49"/>
      <c r="K352" s="49">
        <f>F352</f>
        <v>100192</v>
      </c>
    </row>
    <row r="353" spans="1:11" ht="30" customHeight="1">
      <c r="A353" s="15">
        <v>128</v>
      </c>
      <c r="B353" s="12" t="s">
        <v>281</v>
      </c>
      <c r="C353" s="21">
        <v>2457</v>
      </c>
      <c r="D353" s="18" t="s">
        <v>109</v>
      </c>
      <c r="E353" s="18">
        <v>200</v>
      </c>
      <c r="F353" s="50">
        <f>200*500.96</f>
        <v>100192</v>
      </c>
      <c r="G353" s="49"/>
      <c r="H353" s="49"/>
      <c r="I353" s="49"/>
      <c r="J353" s="49"/>
      <c r="K353" s="49">
        <f>F353</f>
        <v>100192</v>
      </c>
    </row>
    <row r="354" spans="1:11" ht="30" customHeight="1">
      <c r="A354" s="15">
        <v>129</v>
      </c>
      <c r="B354" s="12" t="s">
        <v>238</v>
      </c>
      <c r="C354" s="21">
        <f>281.2+250.8+68.9+1.5+2227.8</f>
        <v>2830.2000000000003</v>
      </c>
      <c r="D354" s="18" t="s">
        <v>26</v>
      </c>
      <c r="E354" s="18">
        <v>218.7</v>
      </c>
      <c r="F354" s="50">
        <f>218.7*500.96</f>
        <v>109559.95199999999</v>
      </c>
      <c r="G354" s="49"/>
      <c r="H354" s="49"/>
      <c r="I354" s="49"/>
      <c r="J354" s="49"/>
      <c r="K354" s="49">
        <f>F354</f>
        <v>109559.95199999999</v>
      </c>
    </row>
    <row r="355" spans="1:11" ht="30" customHeight="1">
      <c r="A355" s="15">
        <v>130</v>
      </c>
      <c r="B355" s="12" t="s">
        <v>167</v>
      </c>
      <c r="C355" s="21">
        <f>342.6+296.4+42.2+1.5+487.6</f>
        <v>1170.3000000000002</v>
      </c>
      <c r="D355" s="18" t="s">
        <v>26</v>
      </c>
      <c r="E355" s="18">
        <v>218.7</v>
      </c>
      <c r="F355" s="50">
        <f>218.7*500.96</f>
        <v>109559.95199999999</v>
      </c>
      <c r="G355" s="49"/>
      <c r="H355" s="49"/>
      <c r="I355" s="49"/>
      <c r="J355" s="49"/>
      <c r="K355" s="49">
        <f>F355</f>
        <v>109559.95199999999</v>
      </c>
    </row>
    <row r="356" spans="1:11" ht="30" customHeight="1">
      <c r="A356" s="15">
        <v>131</v>
      </c>
      <c r="B356" s="12" t="s">
        <v>239</v>
      </c>
      <c r="C356" s="21">
        <v>4237</v>
      </c>
      <c r="D356" s="18" t="s">
        <v>32</v>
      </c>
      <c r="E356" s="18" t="s">
        <v>154</v>
      </c>
      <c r="F356" s="50">
        <v>97500</v>
      </c>
      <c r="G356" s="49">
        <f>F356</f>
        <v>97500</v>
      </c>
      <c r="H356" s="49"/>
      <c r="I356" s="49"/>
      <c r="J356" s="49"/>
      <c r="K356" s="49"/>
    </row>
    <row r="357" spans="1:11" ht="30" customHeight="1">
      <c r="A357" s="15">
        <v>132</v>
      </c>
      <c r="B357" s="12" t="s">
        <v>150</v>
      </c>
      <c r="C357" s="21">
        <v>3906</v>
      </c>
      <c r="D357" s="18" t="s">
        <v>32</v>
      </c>
      <c r="E357" s="18" t="s">
        <v>155</v>
      </c>
      <c r="F357" s="50">
        <v>174180</v>
      </c>
      <c r="G357" s="49">
        <f>F357</f>
        <v>174180</v>
      </c>
      <c r="H357" s="49"/>
      <c r="I357" s="49"/>
      <c r="J357" s="49"/>
      <c r="K357" s="49"/>
    </row>
    <row r="358" spans="1:11" ht="30" customHeight="1">
      <c r="A358" s="15">
        <v>133</v>
      </c>
      <c r="B358" s="12" t="s">
        <v>240</v>
      </c>
      <c r="C358" s="21">
        <v>4347</v>
      </c>
      <c r="D358" s="18" t="s">
        <v>32</v>
      </c>
      <c r="E358" s="18" t="s">
        <v>156</v>
      </c>
      <c r="F358" s="50">
        <v>164175</v>
      </c>
      <c r="G358" s="49">
        <f>F358</f>
        <v>164175</v>
      </c>
      <c r="H358" s="49"/>
      <c r="I358" s="49"/>
      <c r="J358" s="49"/>
      <c r="K358" s="49"/>
    </row>
    <row r="359" spans="1:11" ht="30" customHeight="1">
      <c r="A359" s="15">
        <v>134</v>
      </c>
      <c r="B359" s="12" t="s">
        <v>241</v>
      </c>
      <c r="C359" s="21">
        <v>2528</v>
      </c>
      <c r="D359" s="18" t="s">
        <v>32</v>
      </c>
      <c r="E359" s="18" t="s">
        <v>157</v>
      </c>
      <c r="F359" s="50">
        <v>117000</v>
      </c>
      <c r="G359" s="49"/>
      <c r="H359" s="49">
        <f>F359</f>
        <v>117000</v>
      </c>
      <c r="I359" s="49"/>
      <c r="J359" s="49"/>
      <c r="K359" s="49"/>
    </row>
    <row r="360" spans="1:11" ht="30" customHeight="1">
      <c r="A360" s="15">
        <v>135</v>
      </c>
      <c r="B360" s="12" t="s">
        <v>151</v>
      </c>
      <c r="C360" s="21">
        <v>2015</v>
      </c>
      <c r="D360" s="18" t="s">
        <v>32</v>
      </c>
      <c r="E360" s="18" t="s">
        <v>158</v>
      </c>
      <c r="F360" s="50">
        <v>35000</v>
      </c>
      <c r="G360" s="49">
        <f>F360</f>
        <v>35000</v>
      </c>
      <c r="H360" s="49"/>
      <c r="I360" s="49"/>
      <c r="J360" s="49"/>
      <c r="K360" s="49"/>
    </row>
    <row r="361" spans="1:11" ht="30" customHeight="1">
      <c r="A361" s="15">
        <v>136</v>
      </c>
      <c r="B361" s="12" t="s">
        <v>152</v>
      </c>
      <c r="C361" s="21">
        <v>1901</v>
      </c>
      <c r="D361" s="18" t="s">
        <v>32</v>
      </c>
      <c r="E361" s="18" t="s">
        <v>159</v>
      </c>
      <c r="F361" s="50">
        <v>22375</v>
      </c>
      <c r="G361" s="49">
        <f>F361</f>
        <v>22375</v>
      </c>
      <c r="H361" s="49"/>
      <c r="I361" s="49"/>
      <c r="J361" s="49"/>
      <c r="K361" s="49"/>
    </row>
    <row r="362" spans="1:11" ht="30" customHeight="1">
      <c r="A362" s="15">
        <v>137</v>
      </c>
      <c r="B362" s="12" t="s">
        <v>153</v>
      </c>
      <c r="C362" s="21">
        <v>790</v>
      </c>
      <c r="D362" s="18" t="s">
        <v>32</v>
      </c>
      <c r="E362" s="18" t="s">
        <v>160</v>
      </c>
      <c r="F362" s="50">
        <v>56250</v>
      </c>
      <c r="G362" s="49">
        <f>F362</f>
        <v>56250</v>
      </c>
      <c r="H362" s="49"/>
      <c r="I362" s="49"/>
      <c r="J362" s="49"/>
      <c r="K362" s="49"/>
    </row>
    <row r="363" spans="1:11" ht="30" customHeight="1">
      <c r="A363" s="15">
        <v>138</v>
      </c>
      <c r="B363" s="12" t="s">
        <v>242</v>
      </c>
      <c r="C363" s="21">
        <f>405+571.3+455+788.5+196+70+159.9+1.5+352.2+7585.14</f>
        <v>10584.54</v>
      </c>
      <c r="D363" s="18" t="s">
        <v>161</v>
      </c>
      <c r="E363" s="18">
        <v>2</v>
      </c>
      <c r="F363" s="50">
        <f>2*12722</f>
        <v>25444</v>
      </c>
      <c r="G363" s="49"/>
      <c r="H363" s="49"/>
      <c r="I363" s="49">
        <f>F363</f>
        <v>25444</v>
      </c>
      <c r="J363" s="49"/>
      <c r="K363" s="49"/>
    </row>
    <row r="364" spans="1:11" ht="30" customHeight="1">
      <c r="A364" s="15">
        <v>139</v>
      </c>
      <c r="B364" s="12" t="s">
        <v>162</v>
      </c>
      <c r="C364" s="21">
        <f>484+521.2+80+587.5+1.5+6331.5</f>
        <v>8005.7</v>
      </c>
      <c r="D364" s="18" t="s">
        <v>161</v>
      </c>
      <c r="E364" s="18">
        <v>8</v>
      </c>
      <c r="F364" s="50">
        <f>8*12722</f>
        <v>101776</v>
      </c>
      <c r="G364" s="49"/>
      <c r="H364" s="49"/>
      <c r="I364" s="49">
        <f>F364</f>
        <v>101776</v>
      </c>
      <c r="J364" s="49"/>
      <c r="K364" s="49"/>
    </row>
    <row r="365" spans="1:11" ht="30" customHeight="1">
      <c r="A365" s="15">
        <v>140</v>
      </c>
      <c r="B365" s="12" t="s">
        <v>163</v>
      </c>
      <c r="C365" s="21">
        <v>3026</v>
      </c>
      <c r="D365" s="18" t="s">
        <v>161</v>
      </c>
      <c r="E365" s="18">
        <v>2</v>
      </c>
      <c r="F365" s="50">
        <f>2*12722</f>
        <v>25444</v>
      </c>
      <c r="G365" s="49"/>
      <c r="H365" s="49"/>
      <c r="I365" s="49">
        <f>F365</f>
        <v>25444</v>
      </c>
      <c r="J365" s="49"/>
      <c r="K365" s="49"/>
    </row>
    <row r="366" spans="1:11" ht="30" customHeight="1">
      <c r="A366" s="15">
        <v>141</v>
      </c>
      <c r="B366" s="12" t="s">
        <v>243</v>
      </c>
      <c r="C366" s="21">
        <v>2005</v>
      </c>
      <c r="D366" s="18" t="s">
        <v>161</v>
      </c>
      <c r="E366" s="18">
        <v>2</v>
      </c>
      <c r="F366" s="50">
        <f>2*15432</f>
        <v>30864</v>
      </c>
      <c r="G366" s="49"/>
      <c r="H366" s="49"/>
      <c r="I366" s="49">
        <f>F366</f>
        <v>30864</v>
      </c>
      <c r="J366" s="49"/>
      <c r="K366" s="49"/>
    </row>
    <row r="367" spans="1:11" ht="30" customHeight="1" thickBot="1">
      <c r="A367" s="64">
        <v>142</v>
      </c>
      <c r="B367" s="26" t="s">
        <v>282</v>
      </c>
      <c r="C367" s="65">
        <v>9405</v>
      </c>
      <c r="D367" s="66" t="s">
        <v>161</v>
      </c>
      <c r="E367" s="66">
        <v>4</v>
      </c>
      <c r="F367" s="67">
        <f>4*15432</f>
        <v>61728</v>
      </c>
      <c r="G367" s="68"/>
      <c r="H367" s="68"/>
      <c r="I367" s="68">
        <f>F367</f>
        <v>61728</v>
      </c>
      <c r="J367" s="68"/>
      <c r="K367" s="68"/>
    </row>
    <row r="368" spans="1:11" ht="22.5" customHeight="1" thickBot="1">
      <c r="A368" s="69"/>
      <c r="B368" s="70" t="s">
        <v>148</v>
      </c>
      <c r="C368" s="71"/>
      <c r="D368" s="72"/>
      <c r="E368" s="72"/>
      <c r="F368" s="73">
        <f>SUM(G368:K368)</f>
        <v>38293052.37900001</v>
      </c>
      <c r="G368" s="73">
        <f>G10+G13+G16+G18+G22+G25+G27+G29+G31+G33+G39+G44+G46+G52+G58+G62+G68+G70+G76+G80+G84+G87+G88+G89+G92+G93+G94+G97+G98+G99+G102+G103+G106+G107+G108+G114+G115+G116+G117+G122+G129+G132+G133+G136+G140+G141+G142+G146+G150+G154+G157+G160+G161+G164+G167+G170+G171+G172+G175+G178+G182+G179+G183+G186+G190+G193+G197+G201+G205+G209+G210+G213+G214+G217+G220+G224+G227+G231+G232+G235+G238+G241+G244+G247+G248+G249+G250+G251+G254+G258+G262+G265+G266+G267+G270+G275+G276+G281+G286+G287+G291+G295+G298+G301+G304+G307+G308+G311+G312+G313+G316+G319+G322+G323+G327+G331+G334+G337+G338+G339+G343+G346+G349+G350+G351+G352+G353+G354+G355+G356+G357+G358+G359+G360+G361+G362+G363+G364+G365+G366+G367</f>
        <v>12201645.319</v>
      </c>
      <c r="H368" s="73">
        <f aca="true" t="shared" si="0" ref="F368:K368">H10+H13+H16+H18+H22+H25+H27+H29+H31+H33+H39+H44+H46+H52+H58+H62+H68+H70+H76+H80+H84+H87+H88+H89+H92+H93+H94+H97+H98+H99+H102+H103+H106+H107+H108+H114+H115+H116+H117+H122+H129+H132+H133+H136+H140+H141+H142+H146+H150+H154+H157+H160+H161+H164+H167+H170+H171+H172+H175+H178+H182+H179+H183+H186+H190+H193+H197+H201+H205+H209+H210+H213+H214+H217+H220+H224+H227+H231+H232+H235+H238+H241+H244+H247+H248+H249+H250+H251+H254+H258+H262+H265+H266+H267+H270+H275+H276+H281+H286+H287+H291+H295+H298+H301+H304+H307+H308+H311+H312+H313+H316+H319+H322+H323+H327+H331+H334+H337+H338+H339+H343+H346+H349+H350+H351+H352+H353+H354+H355+H356+H357+H358+H359+H360+H361+H362+H363+H364+H365+H366+H367</f>
        <v>12353456.136000004</v>
      </c>
      <c r="I368" s="73">
        <f t="shared" si="0"/>
        <v>10846798.24</v>
      </c>
      <c r="J368" s="73">
        <f t="shared" si="0"/>
        <v>1926285.3</v>
      </c>
      <c r="K368" s="74">
        <f t="shared" si="0"/>
        <v>964867.3840000001</v>
      </c>
    </row>
    <row r="369" spans="2:7" ht="46.5" customHeight="1">
      <c r="B369" s="27"/>
      <c r="C369" s="24"/>
      <c r="D369" s="7"/>
      <c r="E369" s="7"/>
      <c r="G369" s="13"/>
    </row>
    <row r="370" spans="2:7" ht="46.5" customHeight="1">
      <c r="B370" s="27"/>
      <c r="C370" s="24"/>
      <c r="D370" s="7"/>
      <c r="E370" s="7"/>
      <c r="G370" s="75"/>
    </row>
    <row r="371" spans="2:7" ht="46.5" customHeight="1">
      <c r="B371" s="27"/>
      <c r="C371" s="24"/>
      <c r="D371" s="7"/>
      <c r="E371" s="7"/>
      <c r="G371" s="75"/>
    </row>
    <row r="372" spans="2:5" ht="46.5" customHeight="1">
      <c r="B372" s="27"/>
      <c r="C372" s="24"/>
      <c r="D372" s="7"/>
      <c r="E372" s="7"/>
    </row>
    <row r="373" spans="2:5" ht="46.5" customHeight="1">
      <c r="B373" s="27"/>
      <c r="C373" s="24"/>
      <c r="D373" s="7"/>
      <c r="E373" s="7"/>
    </row>
    <row r="374" spans="2:5" ht="46.5" customHeight="1">
      <c r="B374" s="27"/>
      <c r="C374" s="24"/>
      <c r="D374" s="7"/>
      <c r="E374" s="7"/>
    </row>
    <row r="375" spans="2:5" ht="46.5" customHeight="1">
      <c r="B375" s="27"/>
      <c r="C375" s="24"/>
      <c r="D375" s="7"/>
      <c r="E375" s="7"/>
    </row>
    <row r="376" spans="2:5" ht="46.5" customHeight="1">
      <c r="B376" s="27"/>
      <c r="C376" s="24"/>
      <c r="D376" s="7"/>
      <c r="E376" s="7"/>
    </row>
    <row r="377" spans="2:5" ht="46.5" customHeight="1">
      <c r="B377" s="27"/>
      <c r="C377" s="24"/>
      <c r="D377" s="7"/>
      <c r="E377" s="7"/>
    </row>
    <row r="378" spans="2:5" ht="46.5" customHeight="1">
      <c r="B378" s="27"/>
      <c r="C378" s="24"/>
      <c r="D378" s="7"/>
      <c r="E378" s="7"/>
    </row>
    <row r="379" spans="2:5" ht="46.5" customHeight="1">
      <c r="B379" s="27"/>
      <c r="C379" s="24"/>
      <c r="D379" s="7"/>
      <c r="E379" s="7"/>
    </row>
    <row r="380" spans="2:5" ht="46.5" customHeight="1">
      <c r="B380" s="27"/>
      <c r="C380" s="24"/>
      <c r="D380" s="7"/>
      <c r="E380" s="7"/>
    </row>
    <row r="381" spans="2:5" ht="46.5" customHeight="1">
      <c r="B381" s="27"/>
      <c r="C381" s="24"/>
      <c r="D381" s="7"/>
      <c r="E381" s="7"/>
    </row>
    <row r="382" spans="2:5" ht="46.5" customHeight="1">
      <c r="B382" s="27"/>
      <c r="C382" s="24"/>
      <c r="D382" s="7"/>
      <c r="E382" s="7"/>
    </row>
    <row r="383" spans="2:5" ht="46.5" customHeight="1">
      <c r="B383" s="27"/>
      <c r="C383" s="24"/>
      <c r="D383" s="7"/>
      <c r="E383" s="7"/>
    </row>
  </sheetData>
  <sheetProtection selectLockedCells="1" selectUnlockedCells="1"/>
  <mergeCells count="280">
    <mergeCell ref="J1:K1"/>
    <mergeCell ref="J2:K2"/>
    <mergeCell ref="A8:A10"/>
    <mergeCell ref="B8:B10"/>
    <mergeCell ref="C8:C10"/>
    <mergeCell ref="A11:A13"/>
    <mergeCell ref="B11:B13"/>
    <mergeCell ref="C11:C13"/>
    <mergeCell ref="A19:A22"/>
    <mergeCell ref="B19:B22"/>
    <mergeCell ref="C19:C22"/>
    <mergeCell ref="A14:A16"/>
    <mergeCell ref="B14:B16"/>
    <mergeCell ref="C14:C16"/>
    <mergeCell ref="A17:A18"/>
    <mergeCell ref="B17:B18"/>
    <mergeCell ref="C17:C18"/>
    <mergeCell ref="B344:B346"/>
    <mergeCell ref="C344:C346"/>
    <mergeCell ref="A328:A331"/>
    <mergeCell ref="B328:B331"/>
    <mergeCell ref="C328:C331"/>
    <mergeCell ref="A332:A334"/>
    <mergeCell ref="B332:B334"/>
    <mergeCell ref="C332:C334"/>
    <mergeCell ref="A347:A349"/>
    <mergeCell ref="B347:B349"/>
    <mergeCell ref="C347:C349"/>
    <mergeCell ref="A335:A337"/>
    <mergeCell ref="B335:B337"/>
    <mergeCell ref="C335:C337"/>
    <mergeCell ref="A340:A343"/>
    <mergeCell ref="B340:B343"/>
    <mergeCell ref="C340:C343"/>
    <mergeCell ref="A344:A346"/>
    <mergeCell ref="A320:A322"/>
    <mergeCell ref="B320:B322"/>
    <mergeCell ref="C320:C322"/>
    <mergeCell ref="A324:A327"/>
    <mergeCell ref="B324:B327"/>
    <mergeCell ref="C324:C327"/>
    <mergeCell ref="A314:A316"/>
    <mergeCell ref="B314:B316"/>
    <mergeCell ref="C314:C316"/>
    <mergeCell ref="A317:A319"/>
    <mergeCell ref="B317:B319"/>
    <mergeCell ref="C317:C319"/>
    <mergeCell ref="B263:B265"/>
    <mergeCell ref="C263:C265"/>
    <mergeCell ref="A268:A270"/>
    <mergeCell ref="C268:C270"/>
    <mergeCell ref="A305:A307"/>
    <mergeCell ref="B305:B307"/>
    <mergeCell ref="C305:C307"/>
    <mergeCell ref="A302:A304"/>
    <mergeCell ref="B302:B304"/>
    <mergeCell ref="C302:C304"/>
    <mergeCell ref="A309:A311"/>
    <mergeCell ref="B309:B311"/>
    <mergeCell ref="C309:C311"/>
    <mergeCell ref="A242:A244"/>
    <mergeCell ref="B242:B244"/>
    <mergeCell ref="C242:C244"/>
    <mergeCell ref="A245:A247"/>
    <mergeCell ref="A259:A262"/>
    <mergeCell ref="B259:B262"/>
    <mergeCell ref="C259:C262"/>
    <mergeCell ref="B256:B258"/>
    <mergeCell ref="C256:C258"/>
    <mergeCell ref="A292:A295"/>
    <mergeCell ref="B292:B295"/>
    <mergeCell ref="C292:C295"/>
    <mergeCell ref="A282:A286"/>
    <mergeCell ref="B282:B286"/>
    <mergeCell ref="C282:C286"/>
    <mergeCell ref="A288:A291"/>
    <mergeCell ref="A263:A265"/>
    <mergeCell ref="A299:A301"/>
    <mergeCell ref="B299:B301"/>
    <mergeCell ref="C299:C301"/>
    <mergeCell ref="A296:A298"/>
    <mergeCell ref="B296:B298"/>
    <mergeCell ref="C296:C298"/>
    <mergeCell ref="B288:B291"/>
    <mergeCell ref="C288:C291"/>
    <mergeCell ref="A236:A238"/>
    <mergeCell ref="B236:B238"/>
    <mergeCell ref="C236:C238"/>
    <mergeCell ref="A239:A241"/>
    <mergeCell ref="B239:B241"/>
    <mergeCell ref="C239:C241"/>
    <mergeCell ref="B268:B270"/>
    <mergeCell ref="A256:A258"/>
    <mergeCell ref="A221:A224"/>
    <mergeCell ref="B221:B224"/>
    <mergeCell ref="C221:C224"/>
    <mergeCell ref="B198:B201"/>
    <mergeCell ref="C198:C201"/>
    <mergeCell ref="B215:B217"/>
    <mergeCell ref="A215:A217"/>
    <mergeCell ref="C215:C217"/>
    <mergeCell ref="A218:A220"/>
    <mergeCell ref="A211:A213"/>
    <mergeCell ref="B211:B213"/>
    <mergeCell ref="C211:C213"/>
    <mergeCell ref="B218:B220"/>
    <mergeCell ref="C218:C220"/>
    <mergeCell ref="A191:A193"/>
    <mergeCell ref="B191:B193"/>
    <mergeCell ref="C191:C193"/>
    <mergeCell ref="A206:A209"/>
    <mergeCell ref="B206:B209"/>
    <mergeCell ref="C206:C209"/>
    <mergeCell ref="A202:A205"/>
    <mergeCell ref="B202:B205"/>
    <mergeCell ref="C202:C205"/>
    <mergeCell ref="A198:A201"/>
    <mergeCell ref="A184:A186"/>
    <mergeCell ref="B184:B186"/>
    <mergeCell ref="C184:C186"/>
    <mergeCell ref="A187:A190"/>
    <mergeCell ref="B187:B190"/>
    <mergeCell ref="C187:C190"/>
    <mergeCell ref="C176:C178"/>
    <mergeCell ref="A180:A182"/>
    <mergeCell ref="B180:B182"/>
    <mergeCell ref="C180:C182"/>
    <mergeCell ref="B162:B164"/>
    <mergeCell ref="B158:B160"/>
    <mergeCell ref="B173:B175"/>
    <mergeCell ref="A176:A178"/>
    <mergeCell ref="B176:B178"/>
    <mergeCell ref="A151:A154"/>
    <mergeCell ref="B151:B154"/>
    <mergeCell ref="C151:C154"/>
    <mergeCell ref="A155:A157"/>
    <mergeCell ref="A143:A146"/>
    <mergeCell ref="B143:B146"/>
    <mergeCell ref="C143:C146"/>
    <mergeCell ref="A147:A150"/>
    <mergeCell ref="B147:B150"/>
    <mergeCell ref="C147:C150"/>
    <mergeCell ref="C173:C175"/>
    <mergeCell ref="A168:A170"/>
    <mergeCell ref="B168:B170"/>
    <mergeCell ref="C158:C160"/>
    <mergeCell ref="C165:C167"/>
    <mergeCell ref="C162:C164"/>
    <mergeCell ref="A158:A160"/>
    <mergeCell ref="C168:C170"/>
    <mergeCell ref="A173:A175"/>
    <mergeCell ref="A162:A164"/>
    <mergeCell ref="B123:B129"/>
    <mergeCell ref="C123:C129"/>
    <mergeCell ref="A130:A132"/>
    <mergeCell ref="B130:B132"/>
    <mergeCell ref="C130:C132"/>
    <mergeCell ref="A137:A140"/>
    <mergeCell ref="A104:A106"/>
    <mergeCell ref="B104:B106"/>
    <mergeCell ref="C104:C106"/>
    <mergeCell ref="A134:A136"/>
    <mergeCell ref="B134:B136"/>
    <mergeCell ref="C134:C136"/>
    <mergeCell ref="C137:C140"/>
    <mergeCell ref="B137:B140"/>
    <mergeCell ref="A123:A129"/>
    <mergeCell ref="A95:A97"/>
    <mergeCell ref="B95:B97"/>
    <mergeCell ref="C95:C97"/>
    <mergeCell ref="B118:B122"/>
    <mergeCell ref="C118:C122"/>
    <mergeCell ref="A109:A114"/>
    <mergeCell ref="B109:B114"/>
    <mergeCell ref="C109:C114"/>
    <mergeCell ref="A118:A122"/>
    <mergeCell ref="A100:A102"/>
    <mergeCell ref="A85:A87"/>
    <mergeCell ref="B85:B87"/>
    <mergeCell ref="C85:C87"/>
    <mergeCell ref="A90:A92"/>
    <mergeCell ref="B90:B92"/>
    <mergeCell ref="C90:C92"/>
    <mergeCell ref="K65:K66"/>
    <mergeCell ref="F65:F66"/>
    <mergeCell ref="E65:E66"/>
    <mergeCell ref="B63:B68"/>
    <mergeCell ref="D65:D66"/>
    <mergeCell ref="G65:G66"/>
    <mergeCell ref="H65:H66"/>
    <mergeCell ref="I65:I66"/>
    <mergeCell ref="B81:B84"/>
    <mergeCell ref="C81:C84"/>
    <mergeCell ref="B100:B102"/>
    <mergeCell ref="C100:C102"/>
    <mergeCell ref="A69:A70"/>
    <mergeCell ref="B69:B70"/>
    <mergeCell ref="J65:J66"/>
    <mergeCell ref="C63:C68"/>
    <mergeCell ref="A59:A62"/>
    <mergeCell ref="B59:B62"/>
    <mergeCell ref="C59:C62"/>
    <mergeCell ref="A63:A68"/>
    <mergeCell ref="B155:B157"/>
    <mergeCell ref="C155:C157"/>
    <mergeCell ref="C69:C70"/>
    <mergeCell ref="A71:A76"/>
    <mergeCell ref="B71:B76"/>
    <mergeCell ref="C71:C76"/>
    <mergeCell ref="A81:A84"/>
    <mergeCell ref="A77:A80"/>
    <mergeCell ref="B77:B80"/>
    <mergeCell ref="C77:C80"/>
    <mergeCell ref="A47:A52"/>
    <mergeCell ref="B47:B52"/>
    <mergeCell ref="C47:C52"/>
    <mergeCell ref="C53:C58"/>
    <mergeCell ref="A53:A58"/>
    <mergeCell ref="B53:B58"/>
    <mergeCell ref="A34:A39"/>
    <mergeCell ref="B34:B39"/>
    <mergeCell ref="C34:C39"/>
    <mergeCell ref="A40:A44"/>
    <mergeCell ref="B40:B44"/>
    <mergeCell ref="C40:C44"/>
    <mergeCell ref="C23:C25"/>
    <mergeCell ref="A28:A29"/>
    <mergeCell ref="B28:B29"/>
    <mergeCell ref="C28:C29"/>
    <mergeCell ref="A26:A27"/>
    <mergeCell ref="B26:B27"/>
    <mergeCell ref="C26:C27"/>
    <mergeCell ref="A23:A25"/>
    <mergeCell ref="B23:B25"/>
    <mergeCell ref="A30:A31"/>
    <mergeCell ref="B30:B31"/>
    <mergeCell ref="C30:C31"/>
    <mergeCell ref="A32:A33"/>
    <mergeCell ref="B32:B33"/>
    <mergeCell ref="C32:C33"/>
    <mergeCell ref="A45:A46"/>
    <mergeCell ref="B45:B46"/>
    <mergeCell ref="C45:C46"/>
    <mergeCell ref="K5:K6"/>
    <mergeCell ref="C4:C6"/>
    <mergeCell ref="E4:E6"/>
    <mergeCell ref="A4:A6"/>
    <mergeCell ref="B4:B6"/>
    <mergeCell ref="D4:D6"/>
    <mergeCell ref="F4:K4"/>
    <mergeCell ref="J5:J6"/>
    <mergeCell ref="A194:A197"/>
    <mergeCell ref="B194:B197"/>
    <mergeCell ref="C194:C197"/>
    <mergeCell ref="A165:A167"/>
    <mergeCell ref="B165:B167"/>
    <mergeCell ref="F5:F6"/>
    <mergeCell ref="G5:G6"/>
    <mergeCell ref="H5:H6"/>
    <mergeCell ref="I5:I6"/>
    <mergeCell ref="B245:B247"/>
    <mergeCell ref="C245:C247"/>
    <mergeCell ref="A252:A254"/>
    <mergeCell ref="B252:B254"/>
    <mergeCell ref="C252:C254"/>
    <mergeCell ref="A233:A235"/>
    <mergeCell ref="B233:B235"/>
    <mergeCell ref="C233:C235"/>
    <mergeCell ref="A225:A227"/>
    <mergeCell ref="A228:A231"/>
    <mergeCell ref="B228:B231"/>
    <mergeCell ref="C228:C231"/>
    <mergeCell ref="C225:C227"/>
    <mergeCell ref="B225:B227"/>
    <mergeCell ref="A271:A275"/>
    <mergeCell ref="B271:B275"/>
    <mergeCell ref="C271:C275"/>
    <mergeCell ref="A277:A281"/>
    <mergeCell ref="B277:B281"/>
    <mergeCell ref="C277:C281"/>
  </mergeCells>
  <printOptions/>
  <pageMargins left="0.63" right="0" top="0" bottom="0" header="0.2" footer="0.28"/>
  <pageSetup horizontalDpi="300" verticalDpi="300" orientation="landscape" paperSize="9" scale="60" r:id="rId1"/>
  <rowBreaks count="6" manualBreakCount="6">
    <brk id="39" max="255" man="1"/>
    <brk id="76" max="255" man="1"/>
    <brk id="146" max="255" man="1"/>
    <brk id="182" max="255" man="1"/>
    <brk id="281" max="255" man="1"/>
    <brk id="314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52:IV53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52:IV53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Писарева Екатерина Владиславовна</dc:creator>
  <cp:keywords/>
  <dc:description/>
  <cp:lastModifiedBy>Pelevina</cp:lastModifiedBy>
  <cp:lastPrinted>2017-11-16T05:20:18Z</cp:lastPrinted>
  <dcterms:created xsi:type="dcterms:W3CDTF">2017-06-05T09:06:21Z</dcterms:created>
  <dcterms:modified xsi:type="dcterms:W3CDTF">2017-11-16T05:22:32Z</dcterms:modified>
  <cp:category/>
  <cp:version/>
  <cp:contentType/>
  <cp:contentStatus/>
</cp:coreProperties>
</file>